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Daten\Privat\Finanzen\Altersvorsorge Depot\Verschiedene Versionen\Master\"/>
    </mc:Choice>
  </mc:AlternateContent>
  <xr:revisionPtr revIDLastSave="0" documentId="13_ncr:1_{5AE5A9BA-0D83-4C7A-8DA5-E1A89A1ECD46}" xr6:coauthVersionLast="47" xr6:coauthVersionMax="47" xr10:uidLastSave="{00000000-0000-0000-0000-000000000000}"/>
  <workbookProtection workbookAlgorithmName="SHA-512" workbookHashValue="YTn/dg/MAXkWspL8dou6OgI4AbV5wMfXF1S9nOtmicAFHG5baOQcNH08xE2SAtEm6Gu8F1cAKqBUtdPzoCRAcw==" workbookSaltValue="8SyPD9xdvNpad4GWZx6GEw==" workbookSpinCount="100000" lockStructure="1"/>
  <bookViews>
    <workbookView xWindow="-108" yWindow="-108" windowWidth="23256" windowHeight="12456" xr2:uid="{8490760B-0AAB-4AA3-B139-7C2EA3CECF1B}"/>
  </bookViews>
  <sheets>
    <sheet name="Standard Rechner" sheetId="1" r:id="rId1"/>
  </sheets>
  <definedNames>
    <definedName name="Diagramm_AV">OFFSET('Standard Rechner'!$E$37,0,0,('Standard Rechner'!$D$7+'Standard Rechner'!$D$8)-'Standard Rechner'!$B$7+1,1)</definedName>
    <definedName name="Diagramm_Cashback">OFFSET('Standard Rechner'!$H$37,0,0,('Standard Rechner'!$D$7+'Standard Rechner'!$D$8)-'Standard Rechner'!$B$7+1,1)</definedName>
    <definedName name="Diagramm_Jahre">OFFSET('Standard Rechner'!$A$37,0,0,('Standard Rechner'!$D$7+'Standard Rechner'!$D$8)-'Standard Rechner'!$B$7+1,1)</definedName>
    <definedName name="Diagramm_Privat">OFFSET('Standard Rechner'!$F$37,0,0,('Standard Rechner'!$D$7+'Standard Rechner'!$D$8)-'Standard Rechner'!$B$7+1,1)</definedName>
    <definedName name="_xlnm.Print_Area" localSheetId="0">'Standard Rechner'!$A$1:$I$35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 i="1" l="1"/>
  <c r="B16" i="1" a="1"/>
  <c r="B16" i="1" s="1"/>
  <c r="A22" i="1"/>
  <c r="B9" i="1"/>
  <c r="D50" i="1" s="1"/>
  <c r="B4" i="1"/>
  <c r="A37" i="1"/>
  <c r="B19" i="1"/>
  <c r="B26" i="1" s="1"/>
  <c r="D71" i="1" l="1"/>
  <c r="D49" i="1"/>
  <c r="D70" i="1"/>
  <c r="D48" i="1"/>
  <c r="D69" i="1"/>
  <c r="D47" i="1"/>
  <c r="D85" i="1"/>
  <c r="D68" i="1"/>
  <c r="D46" i="1"/>
  <c r="D84" i="1"/>
  <c r="D67" i="1"/>
  <c r="D45" i="1"/>
  <c r="D83" i="1"/>
  <c r="D61" i="1"/>
  <c r="D44" i="1"/>
  <c r="D82" i="1"/>
  <c r="D60" i="1"/>
  <c r="D43" i="1"/>
  <c r="D81" i="1"/>
  <c r="D59" i="1"/>
  <c r="D80" i="1"/>
  <c r="D58" i="1"/>
  <c r="D79" i="1"/>
  <c r="D57" i="1"/>
  <c r="D73" i="1"/>
  <c r="D56" i="1"/>
  <c r="D72" i="1"/>
  <c r="D55" i="1"/>
  <c r="D78" i="1"/>
  <c r="D66" i="1"/>
  <c r="D54" i="1"/>
  <c r="D77" i="1"/>
  <c r="D65" i="1"/>
  <c r="D53" i="1"/>
  <c r="D76" i="1"/>
  <c r="D64" i="1"/>
  <c r="D52" i="1"/>
  <c r="D87" i="1"/>
  <c r="D75" i="1"/>
  <c r="D63" i="1"/>
  <c r="D51" i="1"/>
  <c r="D42" i="1"/>
  <c r="D86" i="1"/>
  <c r="D74" i="1"/>
  <c r="D62" i="1"/>
  <c r="B10" i="1"/>
  <c r="B11" i="1"/>
  <c r="D37" i="1"/>
  <c r="F37" i="1" s="1"/>
  <c r="B23" i="1"/>
  <c r="C23" i="1" s="1"/>
  <c r="D41" i="1"/>
  <c r="D40" i="1"/>
  <c r="D39" i="1"/>
  <c r="D38" i="1"/>
  <c r="A38" i="1"/>
  <c r="F38" i="1" l="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B38" i="1"/>
  <c r="C38" i="1" s="1"/>
  <c r="G38" i="1" s="1"/>
  <c r="B37" i="1"/>
  <c r="C37" i="1" s="1"/>
  <c r="A39" i="1"/>
  <c r="B39" i="1" s="1"/>
  <c r="C39" i="1" s="1"/>
  <c r="G39" i="1" s="1"/>
  <c r="A40" i="1" l="1"/>
  <c r="B40" i="1" s="1"/>
  <c r="C40" i="1" s="1"/>
  <c r="G37" i="1"/>
  <c r="E37" i="1"/>
  <c r="A41" i="1" l="1"/>
  <c r="B41" i="1" s="1"/>
  <c r="C41" i="1" s="1"/>
  <c r="G41" i="1" s="1"/>
  <c r="E38" i="1"/>
  <c r="E39" i="1" s="1"/>
  <c r="E40" i="1" s="1"/>
  <c r="H37" i="1"/>
  <c r="H38" i="1" s="1"/>
  <c r="H39" i="1" s="1"/>
  <c r="G40" i="1"/>
  <c r="A42" i="1" l="1"/>
  <c r="A43" i="1" s="1"/>
  <c r="H40" i="1"/>
  <c r="H41" i="1" s="1"/>
  <c r="E41" i="1"/>
  <c r="B42" i="1" l="1"/>
  <c r="C42" i="1" s="1"/>
  <c r="G42" i="1" s="1"/>
  <c r="H42" i="1" s="1"/>
  <c r="A44" i="1"/>
  <c r="B43" i="1"/>
  <c r="C43" i="1" s="1"/>
  <c r="G43" i="1" s="1"/>
  <c r="E42" i="1" l="1"/>
  <c r="E43" i="1" s="1"/>
  <c r="H43" i="1"/>
  <c r="A45" i="1"/>
  <c r="B44" i="1"/>
  <c r="C44" i="1" s="1"/>
  <c r="G44" i="1" s="1"/>
  <c r="E44" i="1" l="1"/>
  <c r="H44" i="1"/>
  <c r="A46" i="1"/>
  <c r="B45" i="1"/>
  <c r="C45" i="1" s="1"/>
  <c r="G45" i="1" s="1"/>
  <c r="H45" i="1" l="1"/>
  <c r="A47" i="1"/>
  <c r="B46" i="1"/>
  <c r="C46" i="1" s="1"/>
  <c r="G46" i="1" s="1"/>
  <c r="E45" i="1"/>
  <c r="E46" i="1" l="1"/>
  <c r="H46" i="1"/>
  <c r="A48" i="1"/>
  <c r="B47" i="1"/>
  <c r="C47" i="1" s="1"/>
  <c r="G47" i="1" s="1"/>
  <c r="H47" i="1" l="1"/>
  <c r="B48" i="1"/>
  <c r="C48" i="1" s="1"/>
  <c r="G48" i="1" s="1"/>
  <c r="A49" i="1"/>
  <c r="E47" i="1"/>
  <c r="H48" i="1" l="1"/>
  <c r="E48" i="1"/>
  <c r="B49" i="1"/>
  <c r="C49" i="1" s="1"/>
  <c r="G49" i="1" s="1"/>
  <c r="A50" i="1"/>
  <c r="H49" i="1" l="1"/>
  <c r="A51" i="1"/>
  <c r="B50" i="1"/>
  <c r="C50" i="1" s="1"/>
  <c r="G50" i="1" s="1"/>
  <c r="E49" i="1"/>
  <c r="H50" i="1" l="1"/>
  <c r="E50" i="1"/>
  <c r="B51" i="1"/>
  <c r="A52" i="1"/>
  <c r="A53" i="1" l="1"/>
  <c r="B52" i="1"/>
  <c r="C52" i="1" s="1"/>
  <c r="G52" i="1" s="1"/>
  <c r="C51" i="1"/>
  <c r="E51" i="1" s="1"/>
  <c r="G51" i="1"/>
  <c r="H51" i="1" s="1"/>
  <c r="H52" i="1" l="1"/>
  <c r="E52" i="1"/>
  <c r="A54" i="1"/>
  <c r="B53" i="1"/>
  <c r="C53" i="1" l="1"/>
  <c r="E53" i="1" s="1"/>
  <c r="B54" i="1"/>
  <c r="C54" i="1" s="1"/>
  <c r="G54" i="1" s="1"/>
  <c r="A55" i="1"/>
  <c r="G53" i="1" l="1"/>
  <c r="H53" i="1" s="1"/>
  <c r="H54" i="1" s="1"/>
  <c r="A56" i="1"/>
  <c r="B55" i="1"/>
  <c r="E54" i="1"/>
  <c r="C55" i="1" l="1"/>
  <c r="E55" i="1" s="1"/>
  <c r="A57" i="1"/>
  <c r="B56" i="1"/>
  <c r="C56" i="1" s="1"/>
  <c r="G56" i="1" s="1"/>
  <c r="G55" i="1" l="1"/>
  <c r="H55" i="1" s="1"/>
  <c r="H56" i="1" s="1"/>
  <c r="E56" i="1"/>
  <c r="B57" i="1"/>
  <c r="C57" i="1" s="1"/>
  <c r="G57" i="1" s="1"/>
  <c r="A58" i="1"/>
  <c r="H57" i="1" l="1"/>
  <c r="A59" i="1"/>
  <c r="B58" i="1"/>
  <c r="E57" i="1"/>
  <c r="C58" i="1" l="1"/>
  <c r="E58" i="1" s="1"/>
  <c r="A60" i="1"/>
  <c r="B59" i="1"/>
  <c r="C59" i="1" s="1"/>
  <c r="G59" i="1" s="1"/>
  <c r="G58" i="1" l="1"/>
  <c r="H58" i="1" s="1"/>
  <c r="H59" i="1" s="1"/>
  <c r="E59" i="1"/>
  <c r="B60" i="1"/>
  <c r="C60" i="1" s="1"/>
  <c r="G60" i="1" s="1"/>
  <c r="A61" i="1"/>
  <c r="E60" i="1" l="1"/>
  <c r="H60" i="1"/>
  <c r="A62" i="1"/>
  <c r="B61" i="1"/>
  <c r="C61" i="1" s="1"/>
  <c r="G61" i="1" s="1"/>
  <c r="H61" i="1" l="1"/>
  <c r="A63" i="1"/>
  <c r="B62" i="1"/>
  <c r="C62" i="1" s="1"/>
  <c r="G62" i="1" s="1"/>
  <c r="E61" i="1"/>
  <c r="E62" i="1" l="1"/>
  <c r="H62" i="1"/>
  <c r="B63" i="1"/>
  <c r="C63" i="1" s="1"/>
  <c r="G63" i="1" s="1"/>
  <c r="A64" i="1"/>
  <c r="H63" i="1" l="1"/>
  <c r="B64" i="1"/>
  <c r="C64" i="1" s="1"/>
  <c r="G64" i="1" s="1"/>
  <c r="H64" i="1" s="1"/>
  <c r="A65" i="1"/>
  <c r="E63" i="1"/>
  <c r="E64" i="1" l="1"/>
  <c r="A66" i="1"/>
  <c r="B65" i="1"/>
  <c r="C65" i="1" s="1"/>
  <c r="G65" i="1" s="1"/>
  <c r="H65" i="1" s="1"/>
  <c r="E65" i="1" l="1"/>
  <c r="B66" i="1"/>
  <c r="C66" i="1" s="1"/>
  <c r="G66" i="1" s="1"/>
  <c r="H66" i="1" s="1"/>
  <c r="A67" i="1"/>
  <c r="B67" i="1" l="1"/>
  <c r="C67" i="1" s="1"/>
  <c r="G67" i="1" s="1"/>
  <c r="H67" i="1" s="1"/>
  <c r="A68" i="1"/>
  <c r="E66" i="1"/>
  <c r="A69" i="1" l="1"/>
  <c r="B68" i="1"/>
  <c r="C68" i="1" s="1"/>
  <c r="G68" i="1" s="1"/>
  <c r="H68" i="1" s="1"/>
  <c r="E67" i="1"/>
  <c r="B69" i="1" l="1"/>
  <c r="C69" i="1" s="1"/>
  <c r="G69" i="1" s="1"/>
  <c r="H69" i="1" s="1"/>
  <c r="A70" i="1"/>
  <c r="E68" i="1"/>
  <c r="A71" i="1" l="1"/>
  <c r="B70" i="1"/>
  <c r="C70" i="1" s="1"/>
  <c r="G70" i="1" s="1"/>
  <c r="H70" i="1" s="1"/>
  <c r="E69" i="1"/>
  <c r="A72" i="1" l="1"/>
  <c r="B71" i="1"/>
  <c r="C71" i="1" s="1"/>
  <c r="G71" i="1" s="1"/>
  <c r="H71" i="1" s="1"/>
  <c r="E70" i="1"/>
  <c r="B72" i="1" l="1"/>
  <c r="C72" i="1" s="1"/>
  <c r="G72" i="1" s="1"/>
  <c r="H72" i="1" s="1"/>
  <c r="A73" i="1"/>
  <c r="E71" i="1"/>
  <c r="A74" i="1" l="1"/>
  <c r="B73" i="1"/>
  <c r="C73" i="1" s="1"/>
  <c r="G73" i="1" s="1"/>
  <c r="H73" i="1" s="1"/>
  <c r="E72" i="1"/>
  <c r="A75" i="1" l="1"/>
  <c r="B74" i="1"/>
  <c r="C74" i="1" s="1"/>
  <c r="G74" i="1" s="1"/>
  <c r="H74" i="1" s="1"/>
  <c r="E73" i="1"/>
  <c r="B75" i="1" l="1"/>
  <c r="C75" i="1" s="1"/>
  <c r="G75" i="1" s="1"/>
  <c r="H75" i="1" s="1"/>
  <c r="A76" i="1"/>
  <c r="E74" i="1"/>
  <c r="B76" i="1" l="1"/>
  <c r="C76" i="1" s="1"/>
  <c r="G76" i="1" s="1"/>
  <c r="H76" i="1" s="1"/>
  <c r="A77" i="1"/>
  <c r="E75" i="1"/>
  <c r="A78" i="1" l="1"/>
  <c r="B77" i="1"/>
  <c r="C77" i="1" s="1"/>
  <c r="G77" i="1" s="1"/>
  <c r="H77" i="1" s="1"/>
  <c r="E76" i="1"/>
  <c r="B78" i="1" l="1"/>
  <c r="C78" i="1" s="1"/>
  <c r="G78" i="1" s="1"/>
  <c r="H78" i="1" s="1"/>
  <c r="A79" i="1"/>
  <c r="E77" i="1"/>
  <c r="E78" i="1" l="1"/>
  <c r="A80" i="1"/>
  <c r="B79" i="1"/>
  <c r="C79" i="1" s="1"/>
  <c r="G79" i="1" s="1"/>
  <c r="H79" i="1" s="1"/>
  <c r="A81" i="1" l="1"/>
  <c r="B80" i="1"/>
  <c r="C80" i="1" s="1"/>
  <c r="E79" i="1"/>
  <c r="G80" i="1" l="1"/>
  <c r="H80" i="1" s="1"/>
  <c r="B81" i="1"/>
  <c r="C81" i="1" s="1"/>
  <c r="G81" i="1" s="1"/>
  <c r="A82" i="1"/>
  <c r="E80" i="1"/>
  <c r="E81" i="1" l="1"/>
  <c r="B82" i="1"/>
  <c r="C82" i="1" s="1"/>
  <c r="A83" i="1"/>
  <c r="H81" i="1"/>
  <c r="C22" i="1"/>
  <c r="A84" i="1" l="1"/>
  <c r="B83" i="1"/>
  <c r="C83" i="1" s="1"/>
  <c r="G83" i="1" s="1"/>
  <c r="F23" i="1" s="1"/>
  <c r="G82" i="1"/>
  <c r="H82" i="1" s="1"/>
  <c r="B24" i="1"/>
  <c r="E82" i="1"/>
  <c r="C25" i="1"/>
  <c r="C27" i="1"/>
  <c r="C28" i="1" s="1"/>
  <c r="H83" i="1" l="1"/>
  <c r="E83" i="1"/>
  <c r="B22" i="1"/>
  <c r="B84" i="1"/>
  <c r="A85" i="1"/>
  <c r="A86" i="1" l="1"/>
  <c r="B85" i="1"/>
  <c r="C85" i="1" s="1"/>
  <c r="G85" i="1" s="1"/>
  <c r="C84" i="1"/>
  <c r="E84" i="1" s="1"/>
  <c r="B25" i="1"/>
  <c r="B27" i="1"/>
  <c r="B28" i="1" s="1"/>
  <c r="E85" i="1" l="1"/>
  <c r="G84" i="1"/>
  <c r="H84" i="1" s="1"/>
  <c r="H85" i="1" s="1"/>
  <c r="A87" i="1"/>
  <c r="B87" i="1" s="1"/>
  <c r="C87" i="1" s="1"/>
  <c r="G87" i="1" s="1"/>
  <c r="B86" i="1"/>
  <c r="C86" i="1" s="1"/>
  <c r="G86" i="1" s="1"/>
  <c r="H86" i="1" l="1"/>
  <c r="H87" i="1" s="1"/>
  <c r="F22" i="1" s="1"/>
  <c r="F27" i="1" s="1"/>
  <c r="F28" i="1" s="1"/>
  <c r="E86" i="1"/>
  <c r="E87" i="1" s="1"/>
  <c r="F25"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<sst xmlns="http://schemas.openxmlformats.org/spreadsheetml/2006/main" count="52" uniqueCount="50">
  <si>
    <t>Startjahr</t>
  </si>
  <si>
    <t>Eigenanteil</t>
  </si>
  <si>
    <t>Grundzulage Staat</t>
  </si>
  <si>
    <t>Kinderzulage pro Kind</t>
  </si>
  <si>
    <t>Geburtsjahr Kind 1</t>
  </si>
  <si>
    <t>Geburtsjahr Kind 2</t>
  </si>
  <si>
    <t>Ende Kinderzulage (Alter)</t>
  </si>
  <si>
    <t>Jahr</t>
  </si>
  <si>
    <t>Kinderzulage aktiv</t>
  </si>
  <si>
    <t>Einzahlung AV-Depot</t>
  </si>
  <si>
    <t>Einzahlung privat</t>
  </si>
  <si>
    <t>Depotwert AV</t>
  </si>
  <si>
    <t>Depotwert privat</t>
  </si>
  <si>
    <t>Geburtsjahr Kind 3</t>
  </si>
  <si>
    <t>Steuersatz</t>
  </si>
  <si>
    <t>Steuerlast</t>
  </si>
  <si>
    <t>Kostenqoute ETF / Privat inkl. Vorabpauschale</t>
  </si>
  <si>
    <t>Netto nach Steuern</t>
  </si>
  <si>
    <t>Steuer Cashback</t>
  </si>
  <si>
    <t>Depotwert Cashback-ETF</t>
  </si>
  <si>
    <t>TER 0,2% + 0,15% Vorabpauschale</t>
  </si>
  <si>
    <t>Teilzeit (20.000€)</t>
  </si>
  <si>
    <t>Normalverdiener (30.000€)</t>
  </si>
  <si>
    <t>Gutverdiener  (50.000€)</t>
  </si>
  <si>
    <t>Sehr gut Verdiener  (60.000€)</t>
  </si>
  <si>
    <t>Spitzenverdiener  (ab 70.000€)</t>
  </si>
  <si>
    <t>Minijob / Steuerfrei (bis 12.000€)</t>
  </si>
  <si>
    <t>Durchschnitt  (40.000€)</t>
  </si>
  <si>
    <t xml:space="preserve">Dokument ausgestellt für: </t>
  </si>
  <si>
    <t xml:space="preserve">am:  </t>
  </si>
  <si>
    <t>Privates-Depot</t>
  </si>
  <si>
    <t>AV Depot Staat</t>
  </si>
  <si>
    <t>Kostenquote AV Depot (Effektivkosten)</t>
  </si>
  <si>
    <t>monatliche Sparrate</t>
  </si>
  <si>
    <t>Staatliche Zulage</t>
  </si>
  <si>
    <t>Eigenleistung / Einzahlung</t>
  </si>
  <si>
    <t>Rendite/ Zinsen</t>
  </si>
  <si>
    <t>Startkapital / Übertrag Riester</t>
  </si>
  <si>
    <t>Geburtsjahr</t>
  </si>
  <si>
    <t>Rentenalter</t>
  </si>
  <si>
    <t>Depotvergleich</t>
  </si>
  <si>
    <t>erwartete Marktrendite nach Index</t>
  </si>
  <si>
    <t>RENDITEKILLER!!! UNBEDINGT PRÜFEN!!!</t>
  </si>
  <si>
    <t>Individuell</t>
  </si>
  <si>
    <t>0% Garantie (Volle Rendite)</t>
  </si>
  <si>
    <t>Cashback Steuer bei AV-Depot (opt.)</t>
  </si>
  <si>
    <t>hist. Marktrenditen nach Index</t>
  </si>
  <si>
    <t>MSCI ACWI</t>
  </si>
  <si>
    <t>Max Mustermann</t>
  </si>
  <si>
    <t>Vergleich Altersvorsorge Depot Bund vs. ETF Sparen privat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</si>
</sst>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8" formatCode="#,##0.00\ &quot;€&quot;;[Red]\-#,##0.00\ &quot;€&quot;"/>
    <numFmt numFmtId="164" formatCode="#,##0.00\ &quot;€&quot;"/>
    <numFmt numFmtId="165" formatCode="#,##0\ &quot;€&quot;"/>
    <numFmt numFmtId="166" formatCode="_-* #,##0\ &quot;€&quot;_-;\-* #,##0\ &quot;€&quot;_-;_-* &quot;-&quot;??\ &quot;€&quot;_-;_-@_-"/>
    <numFmt numFmtId="167" formatCode="&quot;Endstand Depot (&quot;0&quot; Jahre)&quot;"/>
    <numFmt numFmtId="168" formatCode="0.0%"/>
  </numFmts>
  <fonts count="14" x14ac:knownFonts="1">
    <font>
      <sz val="11"/>
      <color theme="1"/>
      <name val="Aptos Narrow"/>
      <family val="2"/>
      <scheme val="minor"/>
    </font>
    <font>
      <b/>
      <sz val="11"/>
      <color theme="1"/>
      <name val="Amasis MT Pro Black"/>
      <family val="1"/>
    </font>
    <font>
      <b/>
      <sz val="8"/>
      <color theme="1"/>
      <name val="Amasis MT Pro Black"/>
      <family val="1"/>
    </font>
    <font>
      <b/>
      <sz val="11"/>
      <color theme="1"/>
      <name val="Aptos Narrow"/>
      <family val="2"/>
      <scheme val="minor"/>
    </font>
    <font>
      <b/>
      <sz val="20"/>
      <color theme="1"/>
      <name val="Aptos"/>
      <family val="2"/>
    </font>
    <font>
      <b/>
      <sz val="16"/>
      <color theme="1"/>
      <name val="Aptos"/>
      <family val="2"/>
    </font>
    <font>
      <b/>
      <sz val="11"/>
      <color theme="1"/>
      <name val="Aptos"/>
      <family val="2"/>
    </font>
    <font>
      <b/>
      <sz val="14"/>
      <color theme="1"/>
      <name val="Aptos"/>
      <family val="2"/>
    </font>
    <font>
      <b/>
      <sz val="11"/>
      <color theme="0"/>
      <name val="Aptos"/>
      <family val="2"/>
    </font>
    <font>
      <b/>
      <sz val="16"/>
      <color theme="0"/>
      <name val="Aptos Black"/>
      <family val="2"/>
    </font>
    <font>
      <b/>
      <sz val="11"/>
      <color theme="0"/>
      <name val="Aptos Black"/>
      <family val="2"/>
    </font>
    <font>
      <b/>
      <sz val="8"/>
      <color theme="0"/>
      <name val="Aptos"/>
      <family val="2"/>
    </font>
    <font>
      <b/>
      <sz val="9"/>
      <color theme="1"/>
      <name val="Aptos"/>
      <family val="2"/>
    </font>
    <font>
      <b/>
      <sz val="8"/>
      <color theme="1" tint="0.499984740745262"/>
      <name val="Aptos"/>
      <family val="2"/>
    </font>
  </fonts>
  <fills count="10">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F8F8F8"/>
        <bgColor indexed="64"/>
      </patternFill>
    </fill>
    <fill>
      <gradientFill degree="90">
        <stop position="0">
          <color theme="0"/>
        </stop>
        <stop position="1">
          <color theme="4" tint="0.59999389629810485"/>
        </stop>
      </gradientFill>
    </fill>
    <fill>
      <gradientFill degree="90">
        <stop position="0">
          <color theme="0"/>
        </stop>
        <stop position="1">
          <color rgb="FFFFCC00"/>
        </stop>
      </gradientFill>
    </fill>
    <fill>
      <patternFill patternType="solid">
        <fgColor theme="2" tint="-0.249977111117893"/>
        <bgColor indexed="64"/>
      </patternFill>
    </fill>
  </fills>
  <borders count="1">
    <border>
      <left/>
      <right/>
      <top/>
      <bottom/>
      <diagonal/>
    </border>
  </borders>
  <cellStyleXfs count="1">
    <xf numFmtId="0" fontId="0" fillId="0" borderId="0"/>
  </cellStyleXfs>
  <cellXfs count="63">
    <xf numFmtId="0" fontId="0" fillId="0" borderId="0" xfId="0"/>
    <xf numFmtId="0" fontId="6" fillId="3" borderId="0" xfId="0" applyFont="1" applyFill="1" applyAlignment="1">
      <alignment horizontal="center"/>
    </xf>
    <xf numFmtId="0" fontId="6" fillId="3" borderId="0" xfId="0" applyFont="1" applyFill="1"/>
    <xf numFmtId="164" fontId="6" fillId="3" borderId="0" xfId="0" applyNumberFormat="1" applyFont="1" applyFill="1" applyProtection="1">
      <protection hidden="1"/>
    </xf>
    <xf numFmtId="9" fontId="6" fillId="3" borderId="0" xfId="0" applyNumberFormat="1" applyFont="1" applyFill="1" applyProtection="1">
      <protection hidden="1"/>
    </xf>
    <xf numFmtId="0" fontId="6" fillId="6" borderId="0" xfId="0" applyFont="1" applyFill="1"/>
    <xf numFmtId="10" fontId="6" fillId="3" borderId="0" xfId="0" applyNumberFormat="1" applyFont="1" applyFill="1" applyAlignment="1" applyProtection="1">
      <alignment horizontal="center"/>
      <protection hidden="1"/>
    </xf>
    <xf numFmtId="0" fontId="3" fillId="2" borderId="0" xfId="0" applyFont="1" applyFill="1"/>
    <xf numFmtId="0" fontId="1" fillId="2" borderId="0" xfId="0" applyFont="1" applyFill="1"/>
    <xf numFmtId="9" fontId="1" fillId="2" borderId="0" xfId="0" applyNumberFormat="1" applyFont="1" applyFill="1"/>
    <xf numFmtId="0" fontId="6" fillId="3" borderId="0" xfId="0" applyFont="1" applyFill="1" applyAlignment="1">
      <alignment horizontal="right"/>
    </xf>
    <xf numFmtId="10" fontId="3" fillId="2" borderId="0" xfId="0" applyNumberFormat="1" applyFont="1" applyFill="1"/>
    <xf numFmtId="0" fontId="3" fillId="0" borderId="0" xfId="0" applyFont="1"/>
    <xf numFmtId="0" fontId="6" fillId="6" borderId="0" xfId="0" applyFont="1" applyFill="1" applyAlignment="1">
      <alignment horizontal="center"/>
    </xf>
    <xf numFmtId="0" fontId="6" fillId="3" borderId="0" xfId="0" applyFont="1" applyFill="1" applyProtection="1">
      <protection locked="0"/>
    </xf>
    <xf numFmtId="10" fontId="6" fillId="3" borderId="0" xfId="0" applyNumberFormat="1" applyFont="1" applyFill="1" applyProtection="1">
      <protection hidden="1"/>
    </xf>
    <xf numFmtId="10" fontId="6" fillId="3" borderId="0" xfId="0" applyNumberFormat="1" applyFont="1" applyFill="1"/>
    <xf numFmtId="0" fontId="8" fillId="4" borderId="0" xfId="0" applyFont="1" applyFill="1" applyAlignment="1">
      <alignment horizontal="center" vertical="center"/>
    </xf>
    <xf numFmtId="0" fontId="11" fillId="5" borderId="0" xfId="0" applyFont="1" applyFill="1"/>
    <xf numFmtId="167" fontId="6" fillId="6" borderId="0" xfId="0" applyNumberFormat="1" applyFont="1" applyFill="1" applyAlignment="1" applyProtection="1">
      <alignment horizontal="center"/>
      <protection locked="0"/>
    </xf>
    <xf numFmtId="0" fontId="6" fillId="0" borderId="0" xfId="0" applyFont="1"/>
    <xf numFmtId="165" fontId="7" fillId="0" borderId="0" xfId="0" applyNumberFormat="1" applyFont="1"/>
    <xf numFmtId="166" fontId="7" fillId="0" borderId="0" xfId="0" applyNumberFormat="1" applyFont="1"/>
    <xf numFmtId="0" fontId="13" fillId="0" borderId="0" xfId="0" applyFont="1"/>
    <xf numFmtId="0" fontId="2" fillId="0" borderId="0" xfId="0" applyFont="1" applyAlignment="1">
      <alignment horizontal="left" vertical="top"/>
    </xf>
    <xf numFmtId="0" fontId="2" fillId="2" borderId="0" xfId="0" applyFont="1" applyFill="1" applyAlignment="1">
      <alignment horizontal="left" vertical="top"/>
    </xf>
    <xf numFmtId="0" fontId="3" fillId="0" borderId="0" xfId="0" applyFont="1" applyProtection="1">
      <protection hidden="1"/>
    </xf>
    <xf numFmtId="8" fontId="3" fillId="0" borderId="0" xfId="0" applyNumberFormat="1" applyFont="1" applyProtection="1">
      <protection hidden="1"/>
    </xf>
    <xf numFmtId="6" fontId="3" fillId="0" borderId="0" xfId="0" applyNumberFormat="1" applyFont="1" applyProtection="1">
      <protection hidden="1"/>
    </xf>
    <xf numFmtId="164" fontId="3" fillId="0" borderId="0" xfId="0" applyNumberFormat="1" applyFont="1" applyProtection="1">
      <protection hidden="1"/>
    </xf>
    <xf numFmtId="0" fontId="2" fillId="0" borderId="0" xfId="0" applyFont="1"/>
    <xf numFmtId="165" fontId="2" fillId="0" borderId="0" xfId="0" applyNumberFormat="1" applyFont="1" applyAlignment="1">
      <alignment horizontal="center"/>
    </xf>
    <xf numFmtId="165" fontId="2" fillId="0" borderId="0" xfId="0" applyNumberFormat="1" applyFont="1"/>
    <xf numFmtId="10" fontId="2" fillId="0" borderId="0" xfId="0" applyNumberFormat="1" applyFont="1" applyAlignment="1">
      <alignment horizontal="center"/>
    </xf>
    <xf numFmtId="164" fontId="2" fillId="0" borderId="0" xfId="0" applyNumberFormat="1" applyFont="1" applyAlignment="1">
      <alignment horizontal="center"/>
    </xf>
    <xf numFmtId="165" fontId="6" fillId="3" borderId="0" xfId="0" applyNumberFormat="1" applyFont="1" applyFill="1" applyAlignment="1" applyProtection="1">
      <alignment horizontal="center"/>
      <protection hidden="1"/>
    </xf>
    <xf numFmtId="166" fontId="6" fillId="3" borderId="0" xfId="0" applyNumberFormat="1" applyFont="1" applyFill="1" applyProtection="1">
      <protection hidden="1"/>
    </xf>
    <xf numFmtId="165" fontId="9" fillId="4" borderId="0" xfId="0" applyNumberFormat="1" applyFont="1" applyFill="1" applyAlignment="1" applyProtection="1">
      <alignment horizontal="center"/>
      <protection hidden="1"/>
    </xf>
    <xf numFmtId="0" fontId="6" fillId="3" borderId="0" xfId="0" applyFont="1" applyFill="1" applyProtection="1">
      <protection hidden="1"/>
    </xf>
    <xf numFmtId="165" fontId="10" fillId="5" borderId="0" xfId="0" applyNumberFormat="1" applyFont="1" applyFill="1" applyAlignment="1" applyProtection="1">
      <alignment horizontal="center"/>
      <protection hidden="1"/>
    </xf>
    <xf numFmtId="165" fontId="12" fillId="3" borderId="0" xfId="0" applyNumberFormat="1" applyFont="1" applyFill="1" applyAlignment="1" applyProtection="1">
      <alignment horizontal="center"/>
      <protection hidden="1"/>
    </xf>
    <xf numFmtId="165" fontId="12" fillId="3" borderId="0" xfId="0" applyNumberFormat="1" applyFont="1" applyFill="1" applyProtection="1">
      <protection hidden="1"/>
    </xf>
    <xf numFmtId="10" fontId="12" fillId="3" borderId="0" xfId="0" applyNumberFormat="1" applyFont="1" applyFill="1" applyAlignment="1" applyProtection="1">
      <alignment horizontal="center"/>
      <protection hidden="1"/>
    </xf>
    <xf numFmtId="164" fontId="12" fillId="3" borderId="0" xfId="0" applyNumberFormat="1" applyFont="1" applyFill="1" applyAlignment="1" applyProtection="1">
      <alignment horizontal="center"/>
      <protection hidden="1"/>
    </xf>
    <xf numFmtId="0" fontId="3" fillId="0" borderId="0" xfId="0" applyFont="1" applyAlignment="1" applyProtection="1">
      <alignment horizontal="left" vertical="top"/>
      <protection hidden="1"/>
    </xf>
    <xf numFmtId="0" fontId="4" fillId="0" borderId="0" xfId="0" applyFont="1"/>
    <xf numFmtId="0" fontId="5" fillId="0" borderId="0" xfId="0" applyFont="1"/>
    <xf numFmtId="14" fontId="6" fillId="0" borderId="0" xfId="0" applyNumberFormat="1" applyFont="1" applyAlignment="1">
      <alignment horizontal="left"/>
    </xf>
    <xf numFmtId="0" fontId="6" fillId="0" borderId="0" xfId="0" applyFont="1" applyAlignment="1">
      <alignment horizontal="center"/>
    </xf>
    <xf numFmtId="0" fontId="6" fillId="7" borderId="0" xfId="0" applyFont="1" applyFill="1" applyAlignment="1" applyProtection="1">
      <alignment horizontal="left" vertical="top"/>
      <protection locked="0"/>
    </xf>
    <xf numFmtId="0" fontId="6" fillId="7" borderId="0" xfId="0" applyFont="1" applyFill="1" applyAlignment="1" applyProtection="1">
      <alignment horizontal="center"/>
      <protection locked="0"/>
    </xf>
    <xf numFmtId="6" fontId="6" fillId="7" borderId="0" xfId="0" applyNumberFormat="1" applyFont="1" applyFill="1" applyAlignment="1" applyProtection="1">
      <alignment horizontal="center"/>
      <protection locked="0"/>
    </xf>
    <xf numFmtId="6" fontId="6" fillId="7" borderId="0" xfId="0" applyNumberFormat="1" applyFont="1" applyFill="1" applyProtection="1">
      <protection locked="0"/>
    </xf>
    <xf numFmtId="0" fontId="6" fillId="7" borderId="0" xfId="0" applyFont="1" applyFill="1" applyProtection="1">
      <protection locked="0"/>
    </xf>
    <xf numFmtId="10" fontId="6" fillId="8" borderId="0" xfId="0" applyNumberFormat="1" applyFont="1" applyFill="1" applyProtection="1">
      <protection locked="0"/>
    </xf>
    <xf numFmtId="168" fontId="6" fillId="8" borderId="0" xfId="0" applyNumberFormat="1" applyFont="1" applyFill="1" applyAlignment="1" applyProtection="1">
      <alignment horizontal="center"/>
      <protection locked="0"/>
    </xf>
    <xf numFmtId="0" fontId="6" fillId="8" borderId="0" xfId="0" applyFont="1" applyFill="1" applyAlignment="1" applyProtection="1">
      <alignment horizontal="center"/>
      <protection locked="0"/>
    </xf>
    <xf numFmtId="6" fontId="6" fillId="3" borderId="0" xfId="0" applyNumberFormat="1" applyFont="1" applyFill="1" applyProtection="1">
      <protection hidden="1"/>
    </xf>
    <xf numFmtId="0" fontId="4" fillId="0" borderId="0" xfId="0" applyFont="1" applyAlignment="1">
      <alignment horizontal="center"/>
    </xf>
    <xf numFmtId="0" fontId="6" fillId="8" borderId="0" xfId="0" applyFont="1" applyFill="1" applyProtection="1">
      <protection locked="0"/>
    </xf>
    <xf numFmtId="0" fontId="6" fillId="8" borderId="0" xfId="0" applyFont="1" applyFill="1" applyAlignment="1" applyProtection="1">
      <alignment horizontal="center"/>
      <protection locked="0"/>
    </xf>
    <xf numFmtId="0" fontId="8" fillId="9" borderId="0" xfId="0" applyFont="1" applyFill="1" applyAlignment="1">
      <alignment horizontal="center"/>
    </xf>
    <xf numFmtId="165" fontId="9" fillId="9" borderId="0" xfId="0" applyNumberFormat="1" applyFont="1" applyFill="1" applyAlignment="1" applyProtection="1">
      <alignment horizontal="center"/>
      <protection hidden="1"/>
    </xf>
  </cellXfs>
  <cellStyles count="1">
    <cellStyle name="Standard" xfId="0" builtinId="0"/>
  </cellStyles>
  <dxfs count="3">
    <dxf>
      <font>
        <color theme="1"/>
      </font>
      <fill>
        <gradientFill degree="90">
          <stop position="0">
            <color theme="0"/>
          </stop>
          <stop position="1">
            <color theme="9" tint="0.59999389629810485"/>
          </stop>
        </gradientFill>
      </fill>
    </dxf>
    <dxf>
      <font>
        <color theme="1"/>
      </font>
      <fill>
        <gradientFill degree="90">
          <stop position="0">
            <color theme="0"/>
          </stop>
          <stop position="1">
            <color rgb="FFFFFF00"/>
          </stop>
        </gradientFill>
      </fill>
    </dxf>
    <dxf>
      <font>
        <b/>
        <i val="0"/>
        <strike val="0"/>
        <color theme="1"/>
      </font>
      <fill>
        <gradientFill degree="90">
          <stop position="0">
            <color theme="0"/>
          </stop>
          <stop position="1">
            <color rgb="FFFF0000"/>
          </stop>
        </gradientFill>
      </fill>
    </dxf>
  </dxfs>
  <tableStyles count="0" defaultTableStyle="TableStyleMedium2" defaultPivotStyle="PivotStyleLight16"/>
  <colors>
    <mruColors>
      <color rgb="FFFFCC00"/>
      <color rgb="FFFF000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solidFill>
                <a:latin typeface="Aptos" panose="020B0004020202020204" pitchFamily="34" charset="0"/>
                <a:ea typeface="+mn-ea"/>
                <a:cs typeface="+mn-cs"/>
              </a:defRPr>
            </a:pPr>
            <a:r>
              <a:rPr lang="de-DE" b="1" i="0" baseline="0">
                <a:solidFill>
                  <a:schemeClr val="tx1"/>
                </a:solidFill>
                <a:latin typeface="Aptos" panose="020B0004020202020204" pitchFamily="34" charset="0"/>
              </a:rPr>
              <a:t>Entwicklung Depots vor Steuer</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solidFill>
              <a:latin typeface="Aptos" panose="020B0004020202020204" pitchFamily="34" charset="0"/>
              <a:ea typeface="+mn-ea"/>
              <a:cs typeface="+mn-cs"/>
            </a:defRPr>
          </a:pPr>
          <a:endParaRPr lang="de-DE"/>
        </a:p>
      </c:txPr>
    </c:title>
    <c:autoTitleDeleted val="0"/>
    <c:plotArea>
      <c:layout>
        <c:manualLayout>
          <c:layoutTarget val="inner"/>
          <c:xMode val="edge"/>
          <c:yMode val="edge"/>
          <c:x val="0.19014362458086401"/>
          <c:y val="0.1713675213675214"/>
          <c:w val="0.78220428894352012"/>
          <c:h val="0.56249598073745055"/>
        </c:manualLayout>
      </c:layout>
      <c:lineChart>
        <c:grouping val="standard"/>
        <c:varyColors val="0"/>
        <c:ser>
          <c:idx val="0"/>
          <c:order val="0"/>
          <c:tx>
            <c:strRef>
              <c:f>'Standard Rechner'!$E$36</c:f>
              <c:strCache>
                <c:ptCount val="1"/>
                <c:pt idx="0">
                  <c:v>Depotwert AV</c:v>
                </c:pt>
              </c:strCache>
            </c:strRef>
          </c:tx>
          <c:spPr>
            <a:ln w="22225" cap="rnd" cmpd="sng" algn="ctr">
              <a:solidFill>
                <a:schemeClr val="tx2">
                  <a:lumMod val="75000"/>
                  <a:lumOff val="25000"/>
                </a:schemeClr>
              </a:solidFill>
              <a:round/>
            </a:ln>
            <a:effectLst/>
          </c:spPr>
          <c:marker>
            <c:symbol val="none"/>
          </c:marker>
          <c:cat>
            <c:numRef>
              <c:f>[0]!Diagramm_Jahre</c:f>
              <c:numCache>
                <c:formatCode>General</c:formatCode>
                <c:ptCount val="47"/>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pt idx="24">
                  <c:v>2051</c:v>
                </c:pt>
                <c:pt idx="25">
                  <c:v>2052</c:v>
                </c:pt>
                <c:pt idx="26">
                  <c:v>2053</c:v>
                </c:pt>
                <c:pt idx="27">
                  <c:v>2054</c:v>
                </c:pt>
                <c:pt idx="28">
                  <c:v>2055</c:v>
                </c:pt>
                <c:pt idx="29">
                  <c:v>2056</c:v>
                </c:pt>
                <c:pt idx="30">
                  <c:v>2057</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numCache>
            </c:numRef>
          </c:cat>
          <c:val>
            <c:numRef>
              <c:f>[0]!Diagramm_AV</c:f>
              <c:numCache>
                <c:formatCode>"€"#,##0.00_);[Red]\("€"#,##0.00\)</c:formatCode>
                <c:ptCount val="47"/>
                <c:pt idx="0">
                  <c:v>2343.3000000000002</c:v>
                </c:pt>
                <c:pt idx="1">
                  <c:v>4850.6310000000003</c:v>
                </c:pt>
                <c:pt idx="2">
                  <c:v>7533.4751700000006</c:v>
                </c:pt>
                <c:pt idx="3">
                  <c:v>10404.118431900002</c:v>
                </c:pt>
                <c:pt idx="4">
                  <c:v>13475.706722133003</c:v>
                </c:pt>
                <c:pt idx="5">
                  <c:v>16762.306192682314</c:v>
                </c:pt>
                <c:pt idx="6">
                  <c:v>20278.967626170077</c:v>
                </c:pt>
                <c:pt idx="7">
                  <c:v>24041.795360001983</c:v>
                </c:pt>
                <c:pt idx="8">
                  <c:v>28068.021035202124</c:v>
                </c:pt>
                <c:pt idx="9">
                  <c:v>32376.082507666273</c:v>
                </c:pt>
                <c:pt idx="10">
                  <c:v>36985.708283202912</c:v>
                </c:pt>
                <c:pt idx="11">
                  <c:v>41918.007863027116</c:v>
                </c:pt>
                <c:pt idx="12">
                  <c:v>47195.568413439018</c:v>
                </c:pt>
                <c:pt idx="13">
                  <c:v>52842.558202379754</c:v>
                </c:pt>
                <c:pt idx="14">
                  <c:v>58884.837276546343</c:v>
                </c:pt>
                <c:pt idx="15">
                  <c:v>65350.075885904589</c:v>
                </c:pt>
                <c:pt idx="16">
                  <c:v>72267.881197917915</c:v>
                </c:pt>
                <c:pt idx="17">
                  <c:v>79669.932881772169</c:v>
                </c:pt>
                <c:pt idx="18">
                  <c:v>87590.128183496228</c:v>
                </c:pt>
                <c:pt idx="19">
                  <c:v>96064.737156340969</c:v>
                </c:pt>
                <c:pt idx="20">
                  <c:v>105132.56875728484</c:v>
                </c:pt>
                <c:pt idx="21">
                  <c:v>114835.14857029478</c:v>
                </c:pt>
                <c:pt idx="22">
                  <c:v>125216.90897021543</c:v>
                </c:pt>
                <c:pt idx="23">
                  <c:v>136325.39259813051</c:v>
                </c:pt>
                <c:pt idx="24">
                  <c:v>147890.47007999965</c:v>
                </c:pt>
                <c:pt idx="25">
                  <c:v>160265.10298559963</c:v>
                </c:pt>
                <c:pt idx="26">
                  <c:v>173184.96019459161</c:v>
                </c:pt>
                <c:pt idx="27">
                  <c:v>187009.20740821303</c:v>
                </c:pt>
                <c:pt idx="28">
                  <c:v>201801.15192678795</c:v>
                </c:pt>
                <c:pt idx="29">
                  <c:v>217628.53256166313</c:v>
                </c:pt>
                <c:pt idx="30">
                  <c:v>234563.82984097957</c:v>
                </c:pt>
                <c:pt idx="31">
                  <c:v>252684.59792984815</c:v>
                </c:pt>
                <c:pt idx="32">
                  <c:v>272073.81978493754</c:v>
                </c:pt>
                <c:pt idx="33">
                  <c:v>292820.2871698832</c:v>
                </c:pt>
                <c:pt idx="34">
                  <c:v>315019.00727177504</c:v>
                </c:pt>
                <c:pt idx="35">
                  <c:v>338771.6377807993</c:v>
                </c:pt>
                <c:pt idx="36">
                  <c:v>364186.95242545527</c:v>
                </c:pt>
                <c:pt idx="37">
                  <c:v>391381.33909523714</c:v>
                </c:pt>
                <c:pt idx="38">
                  <c:v>420479.33283190377</c:v>
                </c:pt>
                <c:pt idx="39">
                  <c:v>451614.18613013707</c:v>
                </c:pt>
                <c:pt idx="40">
                  <c:v>484928.47915924666</c:v>
                </c:pt>
                <c:pt idx="41">
                  <c:v>520574.77270039398</c:v>
                </c:pt>
                <c:pt idx="42">
                  <c:v>558716.30678942159</c:v>
                </c:pt>
                <c:pt idx="43">
                  <c:v>599527.74826468108</c:v>
                </c:pt>
                <c:pt idx="44">
                  <c:v>643195.99064320885</c:v>
                </c:pt>
                <c:pt idx="45">
                  <c:v>689921.00998823356</c:v>
                </c:pt>
                <c:pt idx="46">
                  <c:v>739916.78068740992</c:v>
                </c:pt>
              </c:numCache>
            </c:numRef>
          </c:val>
          <c:smooth val="0"/>
          <c:extLst>
            <c:ext xmlns:c16="http://schemas.microsoft.com/office/drawing/2014/chart" uri="{C3380CC4-5D6E-409C-BE32-E72D297353CC}">
              <c16:uniqueId val="{0000000B-B8B5-40A1-BF92-684047621F1C}"/>
            </c:ext>
          </c:extLst>
        </c:ser>
        <c:ser>
          <c:idx val="1"/>
          <c:order val="1"/>
          <c:tx>
            <c:strRef>
              <c:f>'Standard Rechner'!$F$36</c:f>
              <c:strCache>
                <c:ptCount val="1"/>
                <c:pt idx="0">
                  <c:v>Depotwert privat</c:v>
                </c:pt>
              </c:strCache>
            </c:strRef>
          </c:tx>
          <c:spPr>
            <a:ln w="22225" cap="rnd" cmpd="sng" algn="ctr">
              <a:solidFill>
                <a:schemeClr val="bg2">
                  <a:lumMod val="75000"/>
                </a:schemeClr>
              </a:solidFill>
              <a:round/>
            </a:ln>
            <a:effectLst/>
          </c:spPr>
          <c:marker>
            <c:symbol val="none"/>
          </c:marker>
          <c:cat>
            <c:numRef>
              <c:f>[0]!Diagramm_Jahre</c:f>
              <c:numCache>
                <c:formatCode>General</c:formatCode>
                <c:ptCount val="47"/>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pt idx="24">
                  <c:v>2051</c:v>
                </c:pt>
                <c:pt idx="25">
                  <c:v>2052</c:v>
                </c:pt>
                <c:pt idx="26">
                  <c:v>2053</c:v>
                </c:pt>
                <c:pt idx="27">
                  <c:v>2054</c:v>
                </c:pt>
                <c:pt idx="28">
                  <c:v>2055</c:v>
                </c:pt>
                <c:pt idx="29">
                  <c:v>2056</c:v>
                </c:pt>
                <c:pt idx="30">
                  <c:v>2057</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numCache>
            </c:numRef>
          </c:cat>
          <c:val>
            <c:numRef>
              <c:f>[0]!Diagramm_Privat</c:f>
              <c:numCache>
                <c:formatCode>"€"#,##0.00_);[Red]\("€"#,##0.00\)</c:formatCode>
                <c:ptCount val="47"/>
                <c:pt idx="0">
                  <c:v>1285.8</c:v>
                </c:pt>
                <c:pt idx="1">
                  <c:v>2663.5347000000002</c:v>
                </c:pt>
                <c:pt idx="2">
                  <c:v>4139.7774310499999</c:v>
                </c:pt>
                <c:pt idx="3">
                  <c:v>5721.5715173700746</c:v>
                </c:pt>
                <c:pt idx="4">
                  <c:v>7416.4638808620339</c:v>
                </c:pt>
                <c:pt idx="5">
                  <c:v>9232.5410483436681</c:v>
                </c:pt>
                <c:pt idx="6">
                  <c:v>11178.46773330024</c:v>
                </c:pt>
                <c:pt idx="7">
                  <c:v>13263.528176231206</c:v>
                </c:pt>
                <c:pt idx="8">
                  <c:v>15497.670440831736</c:v>
                </c:pt>
                <c:pt idx="9">
                  <c:v>17891.553877351205</c:v>
                </c:pt>
                <c:pt idx="10">
                  <c:v>20456.599979581813</c:v>
                </c:pt>
                <c:pt idx="11">
                  <c:v>23205.04687812191</c:v>
                </c:pt>
                <c:pt idx="12">
                  <c:v>26150.007729907622</c:v>
                </c:pt>
                <c:pt idx="13">
                  <c:v>29305.533282596014</c:v>
                </c:pt>
                <c:pt idx="14">
                  <c:v>32686.678912301624</c:v>
                </c:pt>
                <c:pt idx="15">
                  <c:v>36309.576454531183</c:v>
                </c:pt>
                <c:pt idx="16">
                  <c:v>40191.511171030157</c:v>
                </c:pt>
                <c:pt idx="17">
                  <c:v>44351.004219758812</c:v>
                </c:pt>
                <c:pt idx="18">
                  <c:v>48807.90102147156</c:v>
                </c:pt>
                <c:pt idx="19">
                  <c:v>53583.465944506774</c:v>
                </c:pt>
                <c:pt idx="20">
                  <c:v>58700.483759539005</c:v>
                </c:pt>
                <c:pt idx="21">
                  <c:v>64183.368348346041</c:v>
                </c:pt>
                <c:pt idx="22">
                  <c:v>70058.279185252773</c:v>
                </c:pt>
                <c:pt idx="23">
                  <c:v>76353.246146998339</c:v>
                </c:pt>
                <c:pt idx="24">
                  <c:v>83098.303246508716</c:v>
                </c:pt>
                <c:pt idx="25">
                  <c:v>90325.631928634088</c:v>
                </c:pt>
                <c:pt idx="26">
                  <c:v>98069.71461153141</c:v>
                </c:pt>
                <c:pt idx="27">
                  <c:v>106367.49920625589</c:v>
                </c:pt>
                <c:pt idx="28">
                  <c:v>115258.57539950317</c:v>
                </c:pt>
                <c:pt idx="29">
                  <c:v>124785.36354056763</c:v>
                </c:pt>
                <c:pt idx="30">
                  <c:v>134993.31703371819</c:v>
                </c:pt>
                <c:pt idx="31">
                  <c:v>145931.13920162903</c:v>
                </c:pt>
                <c:pt idx="32">
                  <c:v>157651.01565454548</c:v>
                </c:pt>
                <c:pt idx="33">
                  <c:v>170208.86327384546</c:v>
                </c:pt>
                <c:pt idx="34">
                  <c:v>183664.5969979254</c:v>
                </c:pt>
                <c:pt idx="35">
                  <c:v>198082.41568327704</c:v>
                </c:pt>
                <c:pt idx="36">
                  <c:v>213531.10840463132</c:v>
                </c:pt>
                <c:pt idx="37">
                  <c:v>230084.38265556243</c:v>
                </c:pt>
                <c:pt idx="38">
                  <c:v>247821.21601543511</c:v>
                </c:pt>
                <c:pt idx="39">
                  <c:v>266826.23296053871</c:v>
                </c:pt>
                <c:pt idx="40">
                  <c:v>287190.10861721722</c:v>
                </c:pt>
                <c:pt idx="41">
                  <c:v>309010.00138334825</c:v>
                </c:pt>
                <c:pt idx="42">
                  <c:v>332390.01648225763</c:v>
                </c:pt>
                <c:pt idx="43">
                  <c:v>357441.70266073901</c:v>
                </c:pt>
                <c:pt idx="44">
                  <c:v>384284.58440098184</c:v>
                </c:pt>
                <c:pt idx="45">
                  <c:v>413046.73218565201</c:v>
                </c:pt>
                <c:pt idx="46">
                  <c:v>443865.37353692611</c:v>
                </c:pt>
              </c:numCache>
            </c:numRef>
          </c:val>
          <c:smooth val="0"/>
          <c:extLst>
            <c:ext xmlns:c16="http://schemas.microsoft.com/office/drawing/2014/chart" uri="{C3380CC4-5D6E-409C-BE32-E72D297353CC}">
              <c16:uniqueId val="{0000000C-B8B5-40A1-BF92-684047621F1C}"/>
            </c:ext>
          </c:extLst>
        </c:ser>
        <c:dLbls>
          <c:showLegendKey val="0"/>
          <c:showVal val="0"/>
          <c:showCatName val="0"/>
          <c:showSerName val="0"/>
          <c:showPercent val="0"/>
          <c:showBubbleSize val="0"/>
        </c:dLbls>
        <c:smooth val="0"/>
        <c:axId val="2031936512"/>
        <c:axId val="2031941312"/>
      </c:lineChart>
      <c:catAx>
        <c:axId val="20319365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Aptos" panose="020B0004020202020204" pitchFamily="34" charset="0"/>
                <a:ea typeface="+mn-ea"/>
                <a:cs typeface="+mn-cs"/>
              </a:defRPr>
            </a:pPr>
            <a:endParaRPr lang="de-DE"/>
          </a:p>
        </c:txPr>
        <c:crossAx val="2031941312"/>
        <c:crosses val="autoZero"/>
        <c:auto val="1"/>
        <c:lblAlgn val="ctr"/>
        <c:lblOffset val="100"/>
        <c:noMultiLvlLbl val="0"/>
      </c:catAx>
      <c:valAx>
        <c:axId val="2031941312"/>
        <c:scaling>
          <c:orientation val="minMax"/>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Aptos" panose="020B0004020202020204" pitchFamily="34" charset="0"/>
                <a:ea typeface="+mn-ea"/>
                <a:cs typeface="+mn-cs"/>
              </a:defRPr>
            </a:pPr>
            <a:endParaRPr lang="de-DE"/>
          </a:p>
        </c:txPr>
        <c:crossAx val="203193651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0.30920060331825039"/>
          <c:y val="0.91085686938705313"/>
          <c:w val="0.47146530326243158"/>
          <c:h val="8.68061631184990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472440</xdr:colOff>
      <xdr:row>5</xdr:row>
      <xdr:rowOff>175260</xdr:rowOff>
    </xdr:from>
    <xdr:to>
      <xdr:col>7</xdr:col>
      <xdr:colOff>1280160</xdr:colOff>
      <xdr:row>19</xdr:row>
      <xdr:rowOff>83820</xdr:rowOff>
    </xdr:to>
    <xdr:graphicFrame macro="">
      <xdr:nvGraphicFramePr>
        <xdr:cNvPr id="3" name="Diagramm 2">
          <a:extLst>
            <a:ext uri="{FF2B5EF4-FFF2-40B4-BE49-F238E27FC236}">
              <a16:creationId xmlns:a16="http://schemas.microsoft.com/office/drawing/2014/main" id="{275F222D-5712-8C52-69E8-7C1F5C5EF7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31</xdr:row>
      <xdr:rowOff>129540</xdr:rowOff>
    </xdr:from>
    <xdr:to>
      <xdr:col>9</xdr:col>
      <xdr:colOff>0</xdr:colOff>
      <xdr:row>34</xdr:row>
      <xdr:rowOff>76200</xdr:rowOff>
    </xdr:to>
    <xdr:sp macro="" textlink="">
      <xdr:nvSpPr>
        <xdr:cNvPr id="2" name="Textfeld 1">
          <a:extLst>
            <a:ext uri="{FF2B5EF4-FFF2-40B4-BE49-F238E27FC236}">
              <a16:creationId xmlns:a16="http://schemas.microsoft.com/office/drawing/2014/main" id="{8A485430-6BC1-5A63-20C4-7584946FB4BB}"/>
            </a:ext>
          </a:extLst>
        </xdr:cNvPr>
        <xdr:cNvSpPr txBox="1"/>
      </xdr:nvSpPr>
      <xdr:spPr>
        <a:xfrm>
          <a:off x="22860" y="6477000"/>
          <a:ext cx="14615160" cy="541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i="1">
              <a:solidFill>
                <a:schemeClr val="bg1">
                  <a:lumMod val="65000"/>
                </a:schemeClr>
              </a:solidFill>
              <a:latin typeface="Aptos" panose="020B0004020202020204" pitchFamily="34" charset="0"/>
            </a:rPr>
            <a:t>Wichtiger Hinweis (Haftungsausschluss): Dieses Berechnungstool dient ausschließlich der allgmeinen finanziellen Bildung und zu Informationszwecken. Es stellt ausdrücklich keine Anlageberatung, Anlagevermittlung oder Aufforderung zum Kauf oder Verkauf von Finanzinstrumenten im Sinne den Wertpapierhandelsgesetzes (WpHG) oder der Gewerbeverordnung (GewO) dar. Alle Berechnungen beruhen auf theoretischen Annahmen, historischen Durschnittswerten und den aktuellen Rahmenbedingungen. Zukünftige Renditen, Steuersätze und staatliche Zulagen können abweichen. Die Nutzung des Tools und daraus abgeleitete finanzielle Entscheidumgen erfolgen vollständig auf eigene Verantwortung. Eine Haftung für Vermögensschäden wird ausgeschlossen.  </a:t>
          </a:r>
        </a:p>
      </xdr:txBody>
    </xdr:sp>
    <xdr:clientData/>
  </xdr:twoCellAnchor>
  <xdr:oneCellAnchor>
    <xdr:from>
      <xdr:col>7</xdr:col>
      <xdr:colOff>525780</xdr:colOff>
      <xdr:row>30</xdr:row>
      <xdr:rowOff>144780</xdr:rowOff>
    </xdr:from>
    <xdr:ext cx="3627120" cy="217560"/>
    <xdr:sp macro="" textlink="">
      <xdr:nvSpPr>
        <xdr:cNvPr id="5" name="Textfeld 4">
          <a:extLst>
            <a:ext uri="{FF2B5EF4-FFF2-40B4-BE49-F238E27FC236}">
              <a16:creationId xmlns:a16="http://schemas.microsoft.com/office/drawing/2014/main" id="{CB8ABC52-ADBB-4D02-6481-AE1AFAC91382}"/>
            </a:ext>
          </a:extLst>
        </xdr:cNvPr>
        <xdr:cNvSpPr txBox="1"/>
      </xdr:nvSpPr>
      <xdr:spPr>
        <a:xfrm>
          <a:off x="13174980" y="6294120"/>
          <a:ext cx="3627120"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800">
            <a:solidFill>
              <a:schemeClr val="tx1">
                <a:lumMod val="50000"/>
                <a:lumOff val="50000"/>
              </a:schemeClr>
            </a:solidFill>
            <a:latin typeface="Aptos" panose="020B0004020202020204" pitchFamily="34" charset="0"/>
          </a:endParaRPr>
        </a:p>
      </xdr:txBody>
    </xdr:sp>
    <xdr:clientData/>
  </xdr:oneCellAnchor>
  <xdr:twoCellAnchor editAs="oneCell">
    <xdr:from>
      <xdr:col>6</xdr:col>
      <xdr:colOff>1005840</xdr:colOff>
      <xdr:row>26</xdr:row>
      <xdr:rowOff>152400</xdr:rowOff>
    </xdr:from>
    <xdr:to>
      <xdr:col>9</xdr:col>
      <xdr:colOff>0</xdr:colOff>
      <xdr:row>31</xdr:row>
      <xdr:rowOff>144780</xdr:rowOff>
    </xdr:to>
    <xdr:pic>
      <xdr:nvPicPr>
        <xdr:cNvPr id="4" name="Grafik 3">
          <a:extLst>
            <a:ext uri="{FF2B5EF4-FFF2-40B4-BE49-F238E27FC236}">
              <a16:creationId xmlns:a16="http://schemas.microsoft.com/office/drawing/2014/main" id="{3AED292D-B110-0AB4-9639-70991C490B73}"/>
            </a:ext>
          </a:extLst>
        </xdr:cNvPr>
        <xdr:cNvPicPr>
          <a:picLocks noChangeAspect="1"/>
        </xdr:cNvPicPr>
      </xdr:nvPicPr>
      <xdr:blipFill>
        <a:blip xmlns:r="http://schemas.openxmlformats.org/officeDocument/2006/relationships" r:embed="rId2"/>
        <a:stretch>
          <a:fillRect/>
        </a:stretch>
      </xdr:blipFill>
      <xdr:spPr>
        <a:xfrm>
          <a:off x="12527280" y="5196840"/>
          <a:ext cx="2331720" cy="1066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041D-C869-4588-82F4-FBA1E4C640EC}">
  <sheetPr>
    <pageSetUpPr autoPageBreaks="0" fitToPage="1"/>
  </sheetPr>
  <dimension ref="A1:AC102"/>
  <sheetViews>
    <sheetView showGridLines="0" tabSelected="1" topLeftCell="A5" zoomScaleNormal="100" workbookViewId="0">
      <selection activeCell="D26" sqref="D26"/>
    </sheetView>
  </sheetViews>
  <sheetFormatPr baseColWidth="10" defaultColWidth="0" defaultRowHeight="14.4" outlineLevelRow="1" x14ac:dyDescent="0.3"/>
  <cols>
    <col min="1" max="1" width="50" style="7" customWidth="1"/>
    <col min="2" max="3" width="26.5546875" style="7" customWidth="1"/>
    <col min="4" max="4" width="19.44140625" style="7" customWidth="1"/>
    <col min="5" max="5" width="18.109375" style="7" customWidth="1"/>
    <col min="6" max="6" width="27.33203125" style="7" customWidth="1"/>
    <col min="7" max="7" width="16.44140625" style="7" customWidth="1"/>
    <col min="8" max="8" width="28.77734375" style="7" customWidth="1"/>
    <col min="9" max="9" width="3.44140625" style="12" customWidth="1"/>
    <col min="10" max="10" width="0.6640625" style="7" hidden="1"/>
    <col min="11" max="11" width="11.5546875" style="7" hidden="1"/>
    <col min="12" max="12" width="36" style="7" hidden="1"/>
    <col min="13" max="13" width="22.44140625" style="7" hidden="1"/>
    <col min="14" max="29" width="0" style="7" hidden="1"/>
    <col min="30" max="16383" width="11.5546875" style="7" hidden="1"/>
    <col min="16384" max="16384" width="11.5546875" style="7" hidden="1" customWidth="1"/>
  </cols>
  <sheetData>
    <row r="1" spans="1:26" ht="25.8" x14ac:dyDescent="0.5">
      <c r="A1" s="2"/>
      <c r="B1" s="58" t="s">
        <v>49</v>
      </c>
      <c r="C1" s="58"/>
      <c r="D1" s="58"/>
      <c r="E1" s="58"/>
      <c r="F1" s="58"/>
      <c r="G1" s="58"/>
      <c r="H1" s="12"/>
      <c r="J1" s="12"/>
      <c r="L1" s="8"/>
      <c r="M1" s="9"/>
    </row>
    <row r="2" spans="1:26" ht="25.8" x14ac:dyDescent="0.5">
      <c r="A2" s="2"/>
      <c r="B2" s="20"/>
      <c r="C2" s="45"/>
      <c r="D2" s="46"/>
      <c r="E2" s="46"/>
      <c r="F2" s="20"/>
      <c r="G2" s="20"/>
      <c r="H2" s="12"/>
      <c r="J2" s="12"/>
      <c r="L2" s="8" t="s">
        <v>26</v>
      </c>
      <c r="M2" s="9">
        <v>0</v>
      </c>
    </row>
    <row r="3" spans="1:26" x14ac:dyDescent="0.3">
      <c r="A3" s="10" t="s">
        <v>28</v>
      </c>
      <c r="B3" s="49" t="s">
        <v>48</v>
      </c>
      <c r="C3" s="20"/>
      <c r="D3" s="20"/>
      <c r="E3" s="20"/>
      <c r="F3" s="20"/>
      <c r="G3" s="20"/>
      <c r="H3" s="12"/>
      <c r="J3" s="12"/>
      <c r="L3" s="8" t="s">
        <v>21</v>
      </c>
      <c r="M3" s="9">
        <v>0.2</v>
      </c>
    </row>
    <row r="4" spans="1:26" x14ac:dyDescent="0.3">
      <c r="A4" s="10" t="s">
        <v>29</v>
      </c>
      <c r="B4" s="47">
        <f ca="1">TODAY()</f>
        <v>46120</v>
      </c>
      <c r="C4" s="20"/>
      <c r="D4" s="20"/>
      <c r="E4" s="20"/>
      <c r="F4" s="20"/>
      <c r="G4" s="20"/>
      <c r="H4" s="12"/>
      <c r="J4" s="12"/>
      <c r="L4" s="8" t="s">
        <v>22</v>
      </c>
      <c r="M4" s="9">
        <v>0.28000000000000003</v>
      </c>
    </row>
    <row r="5" spans="1:26" x14ac:dyDescent="0.3">
      <c r="A5" s="2"/>
      <c r="B5" s="20"/>
      <c r="C5" s="20"/>
      <c r="D5" s="20"/>
      <c r="E5" s="20"/>
      <c r="F5" s="20"/>
      <c r="G5" s="20"/>
      <c r="H5" s="12"/>
      <c r="J5" s="12"/>
      <c r="L5" s="8" t="s">
        <v>27</v>
      </c>
      <c r="M5" s="9">
        <v>0.32</v>
      </c>
      <c r="Z5" s="11">
        <v>1E-3</v>
      </c>
    </row>
    <row r="6" spans="1:26" x14ac:dyDescent="0.3">
      <c r="A6" s="2"/>
      <c r="B6" s="20"/>
      <c r="C6" s="20"/>
      <c r="D6" s="20"/>
      <c r="E6" s="20"/>
      <c r="F6" s="20"/>
      <c r="G6" s="20"/>
      <c r="H6" s="12"/>
      <c r="J6" s="12"/>
      <c r="L6" s="8" t="s">
        <v>23</v>
      </c>
      <c r="M6" s="9">
        <v>0.36</v>
      </c>
      <c r="Z6" s="11">
        <v>2E-3</v>
      </c>
    </row>
    <row r="7" spans="1:26" x14ac:dyDescent="0.3">
      <c r="A7" s="13" t="s">
        <v>0</v>
      </c>
      <c r="B7" s="14">
        <v>2027</v>
      </c>
      <c r="C7" s="1" t="s">
        <v>38</v>
      </c>
      <c r="D7" s="50">
        <v>2006</v>
      </c>
      <c r="E7" s="2"/>
      <c r="F7" s="2"/>
      <c r="G7" s="2"/>
      <c r="H7" s="12"/>
      <c r="J7" s="12"/>
      <c r="L7" s="8" t="s">
        <v>24</v>
      </c>
      <c r="M7" s="9">
        <v>0.4</v>
      </c>
      <c r="Z7" s="11">
        <v>3.0000000000000001E-3</v>
      </c>
    </row>
    <row r="8" spans="1:26" x14ac:dyDescent="0.3">
      <c r="A8" s="13" t="s">
        <v>37</v>
      </c>
      <c r="B8" s="52">
        <v>0</v>
      </c>
      <c r="C8" s="1" t="s">
        <v>39</v>
      </c>
      <c r="D8" s="1">
        <v>67</v>
      </c>
      <c r="E8" s="2"/>
      <c r="F8" s="2"/>
      <c r="G8" s="2"/>
      <c r="H8" s="12"/>
      <c r="J8" s="12"/>
      <c r="L8" s="8" t="s">
        <v>25</v>
      </c>
      <c r="M8" s="9">
        <v>0.42</v>
      </c>
      <c r="Z8" s="11">
        <v>4.0000000000000001E-3</v>
      </c>
    </row>
    <row r="9" spans="1:26" x14ac:dyDescent="0.3">
      <c r="A9" s="13" t="s">
        <v>1</v>
      </c>
      <c r="B9" s="57">
        <f>D9*12</f>
        <v>1200</v>
      </c>
      <c r="C9" s="1" t="s">
        <v>33</v>
      </c>
      <c r="D9" s="51">
        <v>100</v>
      </c>
      <c r="E9" s="2"/>
      <c r="F9" s="2"/>
      <c r="G9" s="2"/>
      <c r="H9" s="12"/>
      <c r="J9" s="12"/>
      <c r="L9" s="8"/>
      <c r="M9" s="9"/>
      <c r="Z9" s="11">
        <v>5.0000000000000001E-3</v>
      </c>
    </row>
    <row r="10" spans="1:26" x14ac:dyDescent="0.3">
      <c r="A10" s="13" t="s">
        <v>2</v>
      </c>
      <c r="B10" s="3">
        <f>IF(B9&lt;120,0,IF(B9&lt;=360,B9*0.5,IF(B9&lt;=1800,180+(B9-360)*0.25,540)))</f>
        <v>390</v>
      </c>
      <c r="C10" s="60" t="s">
        <v>44</v>
      </c>
      <c r="D10" s="60"/>
      <c r="E10" s="2"/>
      <c r="F10" s="2"/>
      <c r="G10" s="2"/>
      <c r="H10" s="12"/>
      <c r="J10" s="12"/>
      <c r="Z10" s="11">
        <v>6.0000000000000001E-3</v>
      </c>
    </row>
    <row r="11" spans="1:26" x14ac:dyDescent="0.3">
      <c r="A11" s="13" t="s">
        <v>3</v>
      </c>
      <c r="B11" s="57">
        <f>IF(B9&lt;120,0, IF(B9&lt;=300,B9,300))</f>
        <v>300</v>
      </c>
      <c r="C11" s="2"/>
      <c r="D11" s="2"/>
      <c r="E11" s="2"/>
      <c r="F11" s="2"/>
      <c r="G11" s="2"/>
      <c r="H11" s="12"/>
      <c r="J11" s="12"/>
      <c r="Z11" s="11">
        <v>7.0000000000000001E-3</v>
      </c>
    </row>
    <row r="12" spans="1:26" x14ac:dyDescent="0.3">
      <c r="A12" s="13" t="s">
        <v>4</v>
      </c>
      <c r="B12" s="53">
        <v>2030</v>
      </c>
      <c r="C12" s="20"/>
      <c r="D12" s="2"/>
      <c r="E12" s="2"/>
      <c r="F12" s="2"/>
      <c r="G12" s="2"/>
      <c r="H12" s="12"/>
      <c r="J12" s="12"/>
      <c r="Z12" s="11">
        <v>8.0000000000000002E-3</v>
      </c>
    </row>
    <row r="13" spans="1:26" x14ac:dyDescent="0.3">
      <c r="A13" s="13" t="s">
        <v>5</v>
      </c>
      <c r="B13" s="53">
        <v>2032</v>
      </c>
      <c r="C13" s="20"/>
      <c r="D13" s="20"/>
      <c r="E13" s="2"/>
      <c r="F13" s="2"/>
      <c r="G13" s="2"/>
      <c r="H13" s="12"/>
      <c r="J13" s="12"/>
      <c r="Z13" s="11">
        <v>8.9999999999999993E-3</v>
      </c>
    </row>
    <row r="14" spans="1:26" x14ac:dyDescent="0.3">
      <c r="A14" s="13" t="s">
        <v>13</v>
      </c>
      <c r="B14" s="53"/>
      <c r="C14" s="20"/>
      <c r="D14" s="2"/>
      <c r="E14" s="2"/>
      <c r="F14" s="2"/>
      <c r="G14" s="2"/>
      <c r="H14" s="12"/>
      <c r="J14" s="12"/>
      <c r="L14" s="7" t="s">
        <v>46</v>
      </c>
      <c r="Z14" s="11">
        <v>0.01</v>
      </c>
    </row>
    <row r="15" spans="1:26" x14ac:dyDescent="0.3">
      <c r="A15" s="13" t="s">
        <v>6</v>
      </c>
      <c r="B15" s="14">
        <v>20</v>
      </c>
      <c r="C15" s="6"/>
      <c r="D15" s="48" t="s">
        <v>43</v>
      </c>
      <c r="E15" s="2"/>
      <c r="F15" s="2"/>
      <c r="G15" s="2"/>
      <c r="H15" s="12"/>
      <c r="J15" s="12"/>
      <c r="L15" s="6">
        <f>IF(C16="Individuell",D16,IF(C16="S&amp;P 500",0.085,IF(C16="DAX",0.085,IF(C16="MSCI WORLD",0.0785,IF(C16="MSCI ACWI",0.075,IF(C16="STOXX Europe 600",0.075,0.06))))))</f>
        <v>7.4999999999999997E-2</v>
      </c>
      <c r="Z15" s="11">
        <v>1.0999999999999999E-2</v>
      </c>
    </row>
    <row r="16" spans="1:26" x14ac:dyDescent="0.3">
      <c r="A16" s="13" t="s">
        <v>41</v>
      </c>
      <c r="B16" s="15" cm="1">
        <f t="array" ref="B16">_xlfn.LET(_xlpm.IndexRendite,IF(C16="Individuell",D16,IF(C16="S&amp;P 500",0.085,IF(C16="DAX",0.085,IF(C16="MSCI WORLD",0.0785,IF(C16="MSCI ACWI",0.075,IF(C16="STOXX Europe 600",0.075,0.06)))))),_xlfn.IFS(C10="100% Garantie (Sicherheitsfonds)",(_xlpm.IndexRendite*0.15)+(0.025*0.85),C10="80% Garantie (Mischfonds)",(_xlpm.IndexRendite*0.5)+(0.025*0.5),TRUE,_xlpm.IndexRendite))</f>
        <v>7.4999999999999997E-2</v>
      </c>
      <c r="C16" s="56" t="s">
        <v>47</v>
      </c>
      <c r="D16" s="55">
        <v>0.06</v>
      </c>
      <c r="E16" s="2"/>
      <c r="F16" s="2"/>
      <c r="G16" s="2"/>
      <c r="H16" s="12"/>
      <c r="J16" s="12"/>
      <c r="Z16" s="11">
        <v>1.2E-2</v>
      </c>
    </row>
    <row r="17" spans="1:29" x14ac:dyDescent="0.3">
      <c r="A17" s="13" t="s">
        <v>32</v>
      </c>
      <c r="B17" s="54">
        <v>5.0000000000000001E-3</v>
      </c>
      <c r="C17" s="2" t="s">
        <v>42</v>
      </c>
      <c r="D17" s="2"/>
      <c r="E17" s="2"/>
      <c r="F17" s="2"/>
      <c r="G17" s="2"/>
      <c r="H17" s="12"/>
      <c r="J17" s="12"/>
      <c r="Z17" s="11">
        <v>1.2999999999999999E-2</v>
      </c>
    </row>
    <row r="18" spans="1:29" x14ac:dyDescent="0.3">
      <c r="A18" s="13" t="s">
        <v>16</v>
      </c>
      <c r="B18" s="16">
        <v>3.5000000000000001E-3</v>
      </c>
      <c r="C18" s="2" t="s">
        <v>20</v>
      </c>
      <c r="D18" s="2"/>
      <c r="E18" s="2"/>
      <c r="F18" s="2"/>
      <c r="G18" s="2"/>
      <c r="H18" s="12"/>
      <c r="J18" s="12"/>
      <c r="Z18" s="11">
        <v>1.4E-2</v>
      </c>
    </row>
    <row r="19" spans="1:29" x14ac:dyDescent="0.3">
      <c r="A19" s="13" t="s">
        <v>14</v>
      </c>
      <c r="B19" s="4">
        <f>_xlfn.XLOOKUP(C19,L1:L9, M1:M9,0)</f>
        <v>0.32</v>
      </c>
      <c r="C19" s="59" t="s">
        <v>27</v>
      </c>
      <c r="D19" s="59"/>
      <c r="E19" s="2"/>
      <c r="F19" s="2"/>
      <c r="G19" s="2"/>
      <c r="H19" s="12"/>
      <c r="J19" s="12"/>
      <c r="Z19" s="11">
        <v>1.4999999999999999E-2</v>
      </c>
    </row>
    <row r="20" spans="1:29" x14ac:dyDescent="0.3">
      <c r="A20" s="13"/>
      <c r="B20" s="5"/>
      <c r="C20" s="2"/>
      <c r="D20" s="2"/>
      <c r="E20" s="2"/>
      <c r="F20" s="2"/>
      <c r="G20" s="2"/>
      <c r="H20" s="12"/>
      <c r="J20" s="12"/>
      <c r="Z20" s="11">
        <v>1.6E-2</v>
      </c>
    </row>
    <row r="21" spans="1:29" ht="14.4" customHeight="1" x14ac:dyDescent="0.3">
      <c r="A21" s="13" t="s">
        <v>40</v>
      </c>
      <c r="B21" s="17" t="s">
        <v>31</v>
      </c>
      <c r="C21" s="61" t="s">
        <v>30</v>
      </c>
      <c r="D21" s="2"/>
      <c r="E21" s="2"/>
      <c r="F21" s="18" t="s">
        <v>45</v>
      </c>
      <c r="G21" s="2"/>
      <c r="H21" s="12"/>
      <c r="I21" s="30"/>
      <c r="J21" s="30"/>
      <c r="Z21" s="11">
        <v>1.7000000000000001E-2</v>
      </c>
      <c r="AC21" s="11"/>
    </row>
    <row r="22" spans="1:29" ht="14.4" customHeight="1" x14ac:dyDescent="0.3">
      <c r="A22" s="19">
        <f>(D7+D8)-B7</f>
        <v>46</v>
      </c>
      <c r="B22" s="35">
        <f>VLOOKUP($B$7+$A$22-1,A37:F116,5,FALSE)</f>
        <v>689921.00998823356</v>
      </c>
      <c r="C22" s="35">
        <f>VLOOKUP($B$7+$A$22-1,A37:F116,6,FALSE)</f>
        <v>413046.73218565201</v>
      </c>
      <c r="D22" s="2"/>
      <c r="E22" s="2"/>
      <c r="F22" s="40">
        <f>VLOOKUP($B$7+$A$22-1,A37:H116, 8,FALSE)</f>
        <v>5304.7631285061716</v>
      </c>
      <c r="G22" s="2"/>
      <c r="H22" s="12"/>
      <c r="I22" s="31"/>
      <c r="J22" s="30"/>
      <c r="Z22" s="11">
        <v>1.7999999999999999E-2</v>
      </c>
      <c r="AB22" s="11"/>
    </row>
    <row r="23" spans="1:29" x14ac:dyDescent="0.3">
      <c r="A23" s="13" t="s">
        <v>35</v>
      </c>
      <c r="B23" s="35">
        <f>B9*A22+B8</f>
        <v>55200</v>
      </c>
      <c r="C23" s="35">
        <f>B23-B8</f>
        <v>55200</v>
      </c>
      <c r="D23" s="2"/>
      <c r="E23" s="2"/>
      <c r="F23" s="40">
        <f>SUM(G36:INDEX(G36:G101,A22))</f>
        <v>2257.1999999999998</v>
      </c>
      <c r="G23" s="2"/>
      <c r="H23" s="12"/>
      <c r="I23" s="31"/>
      <c r="J23" s="30"/>
      <c r="Z23" s="11">
        <v>1.9E-2</v>
      </c>
      <c r="AB23" s="11"/>
    </row>
    <row r="24" spans="1:29" x14ac:dyDescent="0.3">
      <c r="A24" s="13" t="s">
        <v>34</v>
      </c>
      <c r="B24" s="35">
        <f>SUM(C37:INDEX(C37:C101,A22))-B23+B8</f>
        <v>32940</v>
      </c>
      <c r="C24" s="36"/>
      <c r="D24" s="2"/>
      <c r="E24" s="2"/>
      <c r="F24" s="41"/>
      <c r="G24" s="2"/>
      <c r="H24" s="12"/>
      <c r="I24" s="32"/>
      <c r="J24" s="30"/>
      <c r="Z24" s="11">
        <v>0.02</v>
      </c>
      <c r="AB24" s="11"/>
    </row>
    <row r="25" spans="1:29" x14ac:dyDescent="0.3">
      <c r="A25" s="13" t="s">
        <v>36</v>
      </c>
      <c r="B25" s="35">
        <f>B22-B23-B24</f>
        <v>601781.00998823356</v>
      </c>
      <c r="C25" s="35">
        <f>C22-C23</f>
        <v>357846.73218565201</v>
      </c>
      <c r="D25" s="2"/>
      <c r="E25" s="2"/>
      <c r="F25" s="40">
        <f>F22-F23</f>
        <v>3047.5631285061718</v>
      </c>
      <c r="G25" s="2"/>
      <c r="H25" s="12"/>
      <c r="I25" s="31"/>
      <c r="J25" s="30"/>
      <c r="Z25" s="11">
        <v>2.1000000000000001E-2</v>
      </c>
      <c r="AB25" s="11"/>
    </row>
    <row r="26" spans="1:29" x14ac:dyDescent="0.3">
      <c r="A26" s="13" t="s">
        <v>14</v>
      </c>
      <c r="B26" s="6">
        <f>IF(B19&gt;=0.42,0.3,IF(B19&gt;=0.36,0.25,IF(B19&gt;=0.28,0.2,0.15)))</f>
        <v>0.2</v>
      </c>
      <c r="C26" s="6">
        <v>0.19</v>
      </c>
      <c r="D26" s="2"/>
      <c r="E26" s="2"/>
      <c r="F26" s="42">
        <v>0.19</v>
      </c>
      <c r="G26" s="2"/>
      <c r="H26" s="12"/>
      <c r="I26" s="33"/>
      <c r="J26" s="30"/>
      <c r="Z26" s="11">
        <v>2.1999999999999999E-2</v>
      </c>
      <c r="AB26" s="11"/>
    </row>
    <row r="27" spans="1:29" x14ac:dyDescent="0.3">
      <c r="A27" s="13" t="s">
        <v>15</v>
      </c>
      <c r="B27" s="35">
        <f>B22*B26</f>
        <v>137984.20199764671</v>
      </c>
      <c r="C27" s="35">
        <f>(C22-($A$22*$B$9))*C26</f>
        <v>67990.879115273885</v>
      </c>
      <c r="D27" s="2"/>
      <c r="E27" s="2"/>
      <c r="F27" s="43">
        <f ca="1">(F22-SUM(OFFSET($G$37,0,0,$A$22)))*F26</f>
        <v>556.46499441617266</v>
      </c>
      <c r="G27" s="2"/>
      <c r="H27" s="12"/>
      <c r="I27" s="34"/>
      <c r="J27" s="30"/>
      <c r="Z27" s="11">
        <v>2.3E-2</v>
      </c>
      <c r="AB27" s="11"/>
    </row>
    <row r="28" spans="1:29" ht="21" x14ac:dyDescent="0.4">
      <c r="A28" s="13" t="s">
        <v>17</v>
      </c>
      <c r="B28" s="37">
        <f>B22-B27</f>
        <v>551936.80799058685</v>
      </c>
      <c r="C28" s="62">
        <f>C22-C27</f>
        <v>345055.85307037813</v>
      </c>
      <c r="D28" s="38"/>
      <c r="E28" s="38"/>
      <c r="F28" s="39">
        <f ca="1">F22-F27</f>
        <v>4748.2981340899987</v>
      </c>
      <c r="G28" s="2"/>
      <c r="H28" s="12"/>
      <c r="I28" s="31"/>
      <c r="J28" s="30"/>
      <c r="Z28" s="11">
        <v>2.4E-2</v>
      </c>
      <c r="AB28" s="11"/>
    </row>
    <row r="29" spans="1:29" ht="18" x14ac:dyDescent="0.35">
      <c r="A29" s="20"/>
      <c r="B29" s="21"/>
      <c r="C29" s="22"/>
      <c r="D29" s="21"/>
      <c r="E29" s="21"/>
      <c r="F29" s="20"/>
      <c r="G29" s="23"/>
      <c r="H29" s="12"/>
      <c r="J29" s="12"/>
      <c r="Z29" s="11">
        <v>2.5000000000000001E-2</v>
      </c>
    </row>
    <row r="30" spans="1:29" s="25" customFormat="1" ht="15.6" customHeight="1" x14ac:dyDescent="0.3">
      <c r="A30" s="24"/>
      <c r="B30" s="24"/>
      <c r="C30" s="24"/>
      <c r="D30" s="24"/>
      <c r="E30" s="24"/>
      <c r="F30" s="24"/>
      <c r="G30" s="24"/>
      <c r="H30" s="24"/>
      <c r="I30" s="24"/>
      <c r="J30" s="24"/>
      <c r="Z30" s="11">
        <v>2.5999999999999999E-2</v>
      </c>
    </row>
    <row r="31" spans="1:29" s="25" customFormat="1" ht="15.6" customHeight="1" x14ac:dyDescent="0.3">
      <c r="A31" s="24"/>
      <c r="B31" s="24"/>
      <c r="C31" s="24"/>
      <c r="D31" s="24"/>
      <c r="E31" s="24"/>
      <c r="F31" s="24"/>
      <c r="G31" s="24"/>
      <c r="H31" s="24"/>
      <c r="I31" s="24"/>
      <c r="J31" s="24"/>
      <c r="Z31" s="11">
        <v>2.7E-2</v>
      </c>
    </row>
    <row r="32" spans="1:29" s="25" customFormat="1" ht="15.6" customHeight="1" x14ac:dyDescent="0.3">
      <c r="A32" s="24"/>
      <c r="B32" s="24"/>
      <c r="C32" s="24"/>
      <c r="D32" s="24"/>
      <c r="E32" s="24"/>
      <c r="F32" s="24"/>
      <c r="G32" s="24"/>
      <c r="H32" s="24"/>
      <c r="I32" s="24"/>
      <c r="J32" s="24"/>
      <c r="Z32" s="11">
        <v>2.8000000000000001E-2</v>
      </c>
    </row>
    <row r="33" spans="1:26" s="25" customFormat="1" ht="15.6" customHeight="1" x14ac:dyDescent="0.3">
      <c r="A33" s="24"/>
      <c r="B33" s="24"/>
      <c r="C33" s="24"/>
      <c r="D33" s="24"/>
      <c r="E33" s="24"/>
      <c r="F33" s="24"/>
      <c r="G33" s="24"/>
      <c r="I33" s="24"/>
      <c r="J33" s="24"/>
      <c r="Z33" s="11">
        <v>2.9000000000000001E-2</v>
      </c>
    </row>
    <row r="34" spans="1:26" s="25" customFormat="1" ht="15.6" customHeight="1" x14ac:dyDescent="0.3">
      <c r="I34" s="24"/>
      <c r="J34" s="24"/>
      <c r="Z34" s="11">
        <v>0.03</v>
      </c>
    </row>
    <row r="35" spans="1:26" s="25" customFormat="1" ht="15.6" customHeight="1" x14ac:dyDescent="0.3">
      <c r="A35" s="24"/>
      <c r="B35" s="24"/>
      <c r="C35" s="24"/>
      <c r="D35" s="24"/>
      <c r="E35" s="24"/>
      <c r="F35" s="24"/>
      <c r="G35" s="24"/>
      <c r="H35" s="24"/>
      <c r="I35" s="24"/>
      <c r="J35" s="24"/>
    </row>
    <row r="36" spans="1:26" hidden="1" outlineLevel="1" x14ac:dyDescent="0.3">
      <c r="A36" s="12" t="s">
        <v>7</v>
      </c>
      <c r="B36" s="12" t="s">
        <v>8</v>
      </c>
      <c r="C36" s="12" t="s">
        <v>9</v>
      </c>
      <c r="D36" s="12" t="s">
        <v>10</v>
      </c>
      <c r="E36" s="12" t="s">
        <v>11</v>
      </c>
      <c r="F36" s="12" t="s">
        <v>12</v>
      </c>
      <c r="G36" s="12" t="s">
        <v>18</v>
      </c>
      <c r="H36" s="12" t="s">
        <v>19</v>
      </c>
      <c r="J36" s="12"/>
    </row>
    <row r="37" spans="1:26" hidden="1" outlineLevel="1" x14ac:dyDescent="0.3">
      <c r="A37" s="44">
        <f>$B$7</f>
        <v>2027</v>
      </c>
      <c r="B37" s="26">
        <f>IF(AND($B$12&gt;0,$A37-$B$12&lt;=$B$15),MIN($D$9*12,$B$11),0)+IF(AND($B$13&gt;0,$A37-$B$13&lt;=$B$15),MIN($D$9*12,$B$11),0)+IF(AND($B$14&gt;0,$A37-$B$14&lt;=$B$15),MIN($D$9*12,$B$11),0)</f>
        <v>600</v>
      </c>
      <c r="C37" s="27">
        <f>$B$9+$B$10+B37</f>
        <v>2190</v>
      </c>
      <c r="D37" s="28">
        <f>$B$9</f>
        <v>1200</v>
      </c>
      <c r="E37" s="27">
        <f>C37*(1+$B$16-$B$17)+$B$8</f>
        <v>2343.3000000000002</v>
      </c>
      <c r="F37" s="27">
        <f>D37*(1+$L$15-$B$18)</f>
        <v>1285.8</v>
      </c>
      <c r="G37" s="26">
        <f>MAX(0,MIN(C37,3000)*$B$19-($B$10+B37))</f>
        <v>0</v>
      </c>
      <c r="H37" s="29">
        <f>G37*(1+$B$16-$B$18)</f>
        <v>0</v>
      </c>
      <c r="J37" s="12"/>
    </row>
    <row r="38" spans="1:26" hidden="1" outlineLevel="1" x14ac:dyDescent="0.3">
      <c r="A38" s="44">
        <f>A37+1</f>
        <v>2028</v>
      </c>
      <c r="B38" s="26">
        <f t="shared" ref="B38:B87" si="0">IF(AND($B$12&gt;0,$A38-$B$12&lt;=$B$15),MIN($D$9*12,$B$11),0)+IF(AND($B$13&gt;0,$A38-$B$13&lt;=$B$15),MIN($D$9*12,$B$11),0)+IF(AND($B$14&gt;0,$A38-$B$14&lt;=$B$15),MIN($D$9*12,$B$11),0)</f>
        <v>600</v>
      </c>
      <c r="C38" s="27">
        <f>$B$9+$B$10+B38</f>
        <v>2190</v>
      </c>
      <c r="D38" s="28">
        <f>$B$9</f>
        <v>1200</v>
      </c>
      <c r="E38" s="27">
        <f>($E37+$C38)*(1+$B$16-$B$17)</f>
        <v>4850.6310000000003</v>
      </c>
      <c r="F38" s="27">
        <f>(F37+D38)*(1+$L$15-$B$18)</f>
        <v>2663.5347000000002</v>
      </c>
      <c r="G38" s="26">
        <f t="shared" ref="G38:G87" si="1">MAX(0,MIN(C38,3000)*$B$19-($B$10+B38))</f>
        <v>0</v>
      </c>
      <c r="H38" s="29">
        <f>(H37+G38)*(1+$B$16-$B$18)</f>
        <v>0</v>
      </c>
      <c r="J38" s="12"/>
    </row>
    <row r="39" spans="1:26" hidden="1" outlineLevel="1" x14ac:dyDescent="0.3">
      <c r="A39" s="44">
        <f t="shared" ref="A39:A87" si="2">A38+1</f>
        <v>2029</v>
      </c>
      <c r="B39" s="26">
        <f t="shared" si="0"/>
        <v>600</v>
      </c>
      <c r="C39" s="27">
        <f t="shared" ref="C39:C87" si="3">$B$9+$B$10+B39</f>
        <v>2190</v>
      </c>
      <c r="D39" s="28">
        <f t="shared" ref="D39:D87" si="4">$B$9</f>
        <v>1200</v>
      </c>
      <c r="E39" s="27">
        <f t="shared" ref="E39:E87" si="5">($E38+$C39)*(1+$B$16-$B$17)</f>
        <v>7533.4751700000006</v>
      </c>
      <c r="F39" s="27">
        <f t="shared" ref="F39:F87" si="6">(F38+D39)*(1+$L$15-$B$18)</f>
        <v>4139.7774310499999</v>
      </c>
      <c r="G39" s="26">
        <f t="shared" si="1"/>
        <v>0</v>
      </c>
      <c r="H39" s="29">
        <f t="shared" ref="H39:H87" si="7">(H38+G39)*(1+$B$16-$B$18)</f>
        <v>0</v>
      </c>
      <c r="J39" s="12"/>
    </row>
    <row r="40" spans="1:26" hidden="1" outlineLevel="1" x14ac:dyDescent="0.3">
      <c r="A40" s="44">
        <f t="shared" si="2"/>
        <v>2030</v>
      </c>
      <c r="B40" s="26">
        <f t="shared" si="0"/>
        <v>600</v>
      </c>
      <c r="C40" s="27">
        <f t="shared" si="3"/>
        <v>2190</v>
      </c>
      <c r="D40" s="28">
        <f t="shared" si="4"/>
        <v>1200</v>
      </c>
      <c r="E40" s="27">
        <f t="shared" si="5"/>
        <v>10404.118431900002</v>
      </c>
      <c r="F40" s="27">
        <f t="shared" si="6"/>
        <v>5721.5715173700746</v>
      </c>
      <c r="G40" s="26">
        <f t="shared" si="1"/>
        <v>0</v>
      </c>
      <c r="H40" s="29">
        <f t="shared" si="7"/>
        <v>0</v>
      </c>
      <c r="J40" s="12"/>
    </row>
    <row r="41" spans="1:26" hidden="1" outlineLevel="1" x14ac:dyDescent="0.3">
      <c r="A41" s="44">
        <f t="shared" si="2"/>
        <v>2031</v>
      </c>
      <c r="B41" s="26">
        <f t="shared" si="0"/>
        <v>600</v>
      </c>
      <c r="C41" s="27">
        <f t="shared" si="3"/>
        <v>2190</v>
      </c>
      <c r="D41" s="28">
        <f t="shared" si="4"/>
        <v>1200</v>
      </c>
      <c r="E41" s="27">
        <f t="shared" si="5"/>
        <v>13475.706722133003</v>
      </c>
      <c r="F41" s="27">
        <f t="shared" si="6"/>
        <v>7416.4638808620339</v>
      </c>
      <c r="G41" s="26">
        <f t="shared" si="1"/>
        <v>0</v>
      </c>
      <c r="H41" s="29">
        <f t="shared" si="7"/>
        <v>0</v>
      </c>
      <c r="J41" s="12"/>
    </row>
    <row r="42" spans="1:26" hidden="1" outlineLevel="1" x14ac:dyDescent="0.3">
      <c r="A42" s="44">
        <f t="shared" si="2"/>
        <v>2032</v>
      </c>
      <c r="B42" s="26">
        <f t="shared" si="0"/>
        <v>600</v>
      </c>
      <c r="C42" s="27">
        <f t="shared" si="3"/>
        <v>2190</v>
      </c>
      <c r="D42" s="28">
        <f t="shared" si="4"/>
        <v>1200</v>
      </c>
      <c r="E42" s="27">
        <f t="shared" si="5"/>
        <v>16762.306192682314</v>
      </c>
      <c r="F42" s="27">
        <f t="shared" si="6"/>
        <v>9232.5410483436681</v>
      </c>
      <c r="G42" s="26">
        <f t="shared" si="1"/>
        <v>0</v>
      </c>
      <c r="H42" s="29">
        <f t="shared" si="7"/>
        <v>0</v>
      </c>
      <c r="J42" s="12"/>
    </row>
    <row r="43" spans="1:26" hidden="1" outlineLevel="1" x14ac:dyDescent="0.3">
      <c r="A43" s="44">
        <f t="shared" si="2"/>
        <v>2033</v>
      </c>
      <c r="B43" s="26">
        <f t="shared" si="0"/>
        <v>600</v>
      </c>
      <c r="C43" s="27">
        <f t="shared" si="3"/>
        <v>2190</v>
      </c>
      <c r="D43" s="28">
        <f t="shared" si="4"/>
        <v>1200</v>
      </c>
      <c r="E43" s="27">
        <f t="shared" si="5"/>
        <v>20278.967626170077</v>
      </c>
      <c r="F43" s="27">
        <f t="shared" si="6"/>
        <v>11178.46773330024</v>
      </c>
      <c r="G43" s="26">
        <f t="shared" si="1"/>
        <v>0</v>
      </c>
      <c r="H43" s="29">
        <f t="shared" si="7"/>
        <v>0</v>
      </c>
      <c r="J43" s="12"/>
    </row>
    <row r="44" spans="1:26" hidden="1" outlineLevel="1" x14ac:dyDescent="0.3">
      <c r="A44" s="44">
        <f t="shared" si="2"/>
        <v>2034</v>
      </c>
      <c r="B44" s="26">
        <f t="shared" si="0"/>
        <v>600</v>
      </c>
      <c r="C44" s="27">
        <f t="shared" si="3"/>
        <v>2190</v>
      </c>
      <c r="D44" s="28">
        <f t="shared" si="4"/>
        <v>1200</v>
      </c>
      <c r="E44" s="27">
        <f t="shared" si="5"/>
        <v>24041.795360001983</v>
      </c>
      <c r="F44" s="27">
        <f t="shared" si="6"/>
        <v>13263.528176231206</v>
      </c>
      <c r="G44" s="26">
        <f t="shared" si="1"/>
        <v>0</v>
      </c>
      <c r="H44" s="29">
        <f t="shared" si="7"/>
        <v>0</v>
      </c>
      <c r="J44" s="12"/>
    </row>
    <row r="45" spans="1:26" hidden="1" outlineLevel="1" x14ac:dyDescent="0.3">
      <c r="A45" s="44">
        <f t="shared" si="2"/>
        <v>2035</v>
      </c>
      <c r="B45" s="26">
        <f t="shared" si="0"/>
        <v>600</v>
      </c>
      <c r="C45" s="27">
        <f t="shared" si="3"/>
        <v>2190</v>
      </c>
      <c r="D45" s="28">
        <f t="shared" si="4"/>
        <v>1200</v>
      </c>
      <c r="E45" s="27">
        <f t="shared" si="5"/>
        <v>28068.021035202124</v>
      </c>
      <c r="F45" s="27">
        <f t="shared" si="6"/>
        <v>15497.670440831736</v>
      </c>
      <c r="G45" s="26">
        <f t="shared" si="1"/>
        <v>0</v>
      </c>
      <c r="H45" s="29">
        <f t="shared" si="7"/>
        <v>0</v>
      </c>
      <c r="J45" s="12"/>
    </row>
    <row r="46" spans="1:26" hidden="1" outlineLevel="1" x14ac:dyDescent="0.3">
      <c r="A46" s="44">
        <f t="shared" si="2"/>
        <v>2036</v>
      </c>
      <c r="B46" s="26">
        <f t="shared" si="0"/>
        <v>600</v>
      </c>
      <c r="C46" s="27">
        <f t="shared" si="3"/>
        <v>2190</v>
      </c>
      <c r="D46" s="28">
        <f t="shared" si="4"/>
        <v>1200</v>
      </c>
      <c r="E46" s="27">
        <f t="shared" si="5"/>
        <v>32376.082507666273</v>
      </c>
      <c r="F46" s="27">
        <f t="shared" si="6"/>
        <v>17891.553877351205</v>
      </c>
      <c r="G46" s="26">
        <f t="shared" si="1"/>
        <v>0</v>
      </c>
      <c r="H46" s="29">
        <f t="shared" si="7"/>
        <v>0</v>
      </c>
      <c r="J46" s="12"/>
    </row>
    <row r="47" spans="1:26" hidden="1" outlineLevel="1" x14ac:dyDescent="0.3">
      <c r="A47" s="44">
        <f t="shared" si="2"/>
        <v>2037</v>
      </c>
      <c r="B47" s="26">
        <f t="shared" si="0"/>
        <v>600</v>
      </c>
      <c r="C47" s="27">
        <f t="shared" si="3"/>
        <v>2190</v>
      </c>
      <c r="D47" s="28">
        <f t="shared" si="4"/>
        <v>1200</v>
      </c>
      <c r="E47" s="27">
        <f t="shared" si="5"/>
        <v>36985.708283202912</v>
      </c>
      <c r="F47" s="27">
        <f t="shared" si="6"/>
        <v>20456.599979581813</v>
      </c>
      <c r="G47" s="26">
        <f t="shared" si="1"/>
        <v>0</v>
      </c>
      <c r="H47" s="29">
        <f t="shared" si="7"/>
        <v>0</v>
      </c>
      <c r="J47" s="12"/>
    </row>
    <row r="48" spans="1:26" hidden="1" outlineLevel="1" x14ac:dyDescent="0.3">
      <c r="A48" s="44">
        <f t="shared" si="2"/>
        <v>2038</v>
      </c>
      <c r="B48" s="26">
        <f t="shared" si="0"/>
        <v>600</v>
      </c>
      <c r="C48" s="27">
        <f t="shared" si="3"/>
        <v>2190</v>
      </c>
      <c r="D48" s="28">
        <f t="shared" si="4"/>
        <v>1200</v>
      </c>
      <c r="E48" s="27">
        <f t="shared" si="5"/>
        <v>41918.007863027116</v>
      </c>
      <c r="F48" s="27">
        <f t="shared" si="6"/>
        <v>23205.04687812191</v>
      </c>
      <c r="G48" s="26">
        <f t="shared" si="1"/>
        <v>0</v>
      </c>
      <c r="H48" s="29">
        <f t="shared" si="7"/>
        <v>0</v>
      </c>
      <c r="J48" s="12"/>
    </row>
    <row r="49" spans="1:10" hidden="1" outlineLevel="1" x14ac:dyDescent="0.3">
      <c r="A49" s="44">
        <f t="shared" si="2"/>
        <v>2039</v>
      </c>
      <c r="B49" s="26">
        <f t="shared" si="0"/>
        <v>600</v>
      </c>
      <c r="C49" s="27">
        <f t="shared" si="3"/>
        <v>2190</v>
      </c>
      <c r="D49" s="28">
        <f t="shared" si="4"/>
        <v>1200</v>
      </c>
      <c r="E49" s="27">
        <f t="shared" si="5"/>
        <v>47195.568413439018</v>
      </c>
      <c r="F49" s="27">
        <f t="shared" si="6"/>
        <v>26150.007729907622</v>
      </c>
      <c r="G49" s="26">
        <f t="shared" si="1"/>
        <v>0</v>
      </c>
      <c r="H49" s="29">
        <f t="shared" si="7"/>
        <v>0</v>
      </c>
      <c r="J49" s="12"/>
    </row>
    <row r="50" spans="1:10" hidden="1" outlineLevel="1" x14ac:dyDescent="0.3">
      <c r="A50" s="44">
        <f t="shared" si="2"/>
        <v>2040</v>
      </c>
      <c r="B50" s="26">
        <f t="shared" si="0"/>
        <v>600</v>
      </c>
      <c r="C50" s="27">
        <f t="shared" si="3"/>
        <v>2190</v>
      </c>
      <c r="D50" s="28">
        <f t="shared" si="4"/>
        <v>1200</v>
      </c>
      <c r="E50" s="27">
        <f t="shared" si="5"/>
        <v>52842.558202379754</v>
      </c>
      <c r="F50" s="27">
        <f t="shared" si="6"/>
        <v>29305.533282596014</v>
      </c>
      <c r="G50" s="26">
        <f t="shared" si="1"/>
        <v>0</v>
      </c>
      <c r="H50" s="29">
        <f t="shared" si="7"/>
        <v>0</v>
      </c>
      <c r="J50" s="12"/>
    </row>
    <row r="51" spans="1:10" hidden="1" outlineLevel="1" x14ac:dyDescent="0.3">
      <c r="A51" s="44">
        <f t="shared" si="2"/>
        <v>2041</v>
      </c>
      <c r="B51" s="26">
        <f t="shared" si="0"/>
        <v>600</v>
      </c>
      <c r="C51" s="27">
        <f t="shared" si="3"/>
        <v>2190</v>
      </c>
      <c r="D51" s="28">
        <f t="shared" si="4"/>
        <v>1200</v>
      </c>
      <c r="E51" s="27">
        <f t="shared" si="5"/>
        <v>58884.837276546343</v>
      </c>
      <c r="F51" s="27">
        <f t="shared" si="6"/>
        <v>32686.678912301624</v>
      </c>
      <c r="G51" s="26">
        <f t="shared" si="1"/>
        <v>0</v>
      </c>
      <c r="H51" s="29">
        <f t="shared" si="7"/>
        <v>0</v>
      </c>
      <c r="J51" s="12"/>
    </row>
    <row r="52" spans="1:10" hidden="1" outlineLevel="1" x14ac:dyDescent="0.3">
      <c r="A52" s="44">
        <f t="shared" si="2"/>
        <v>2042</v>
      </c>
      <c r="B52" s="26">
        <f t="shared" si="0"/>
        <v>600</v>
      </c>
      <c r="C52" s="27">
        <f t="shared" si="3"/>
        <v>2190</v>
      </c>
      <c r="D52" s="28">
        <f t="shared" si="4"/>
        <v>1200</v>
      </c>
      <c r="E52" s="27">
        <f t="shared" si="5"/>
        <v>65350.075885904589</v>
      </c>
      <c r="F52" s="27">
        <f t="shared" si="6"/>
        <v>36309.576454531183</v>
      </c>
      <c r="G52" s="26">
        <f t="shared" si="1"/>
        <v>0</v>
      </c>
      <c r="H52" s="29">
        <f t="shared" si="7"/>
        <v>0</v>
      </c>
      <c r="J52" s="12"/>
    </row>
    <row r="53" spans="1:10" hidden="1" outlineLevel="1" x14ac:dyDescent="0.3">
      <c r="A53" s="44">
        <f t="shared" si="2"/>
        <v>2043</v>
      </c>
      <c r="B53" s="26">
        <f t="shared" si="0"/>
        <v>600</v>
      </c>
      <c r="C53" s="27">
        <f t="shared" si="3"/>
        <v>2190</v>
      </c>
      <c r="D53" s="28">
        <f t="shared" si="4"/>
        <v>1200</v>
      </c>
      <c r="E53" s="27">
        <f t="shared" si="5"/>
        <v>72267.881197917915</v>
      </c>
      <c r="F53" s="27">
        <f t="shared" si="6"/>
        <v>40191.511171030157</v>
      </c>
      <c r="G53" s="26">
        <f t="shared" si="1"/>
        <v>0</v>
      </c>
      <c r="H53" s="29">
        <f t="shared" si="7"/>
        <v>0</v>
      </c>
      <c r="J53" s="12"/>
    </row>
    <row r="54" spans="1:10" hidden="1" outlineLevel="1" x14ac:dyDescent="0.3">
      <c r="A54" s="44">
        <f t="shared" si="2"/>
        <v>2044</v>
      </c>
      <c r="B54" s="26">
        <f t="shared" si="0"/>
        <v>600</v>
      </c>
      <c r="C54" s="27">
        <f t="shared" si="3"/>
        <v>2190</v>
      </c>
      <c r="D54" s="28">
        <f t="shared" si="4"/>
        <v>1200</v>
      </c>
      <c r="E54" s="27">
        <f t="shared" si="5"/>
        <v>79669.932881772169</v>
      </c>
      <c r="F54" s="27">
        <f t="shared" si="6"/>
        <v>44351.004219758812</v>
      </c>
      <c r="G54" s="26">
        <f t="shared" si="1"/>
        <v>0</v>
      </c>
      <c r="H54" s="29">
        <f t="shared" si="7"/>
        <v>0</v>
      </c>
      <c r="J54" s="12"/>
    </row>
    <row r="55" spans="1:10" hidden="1" outlineLevel="1" x14ac:dyDescent="0.3">
      <c r="A55" s="44">
        <f t="shared" si="2"/>
        <v>2045</v>
      </c>
      <c r="B55" s="26">
        <f t="shared" si="0"/>
        <v>600</v>
      </c>
      <c r="C55" s="27">
        <f t="shared" si="3"/>
        <v>2190</v>
      </c>
      <c r="D55" s="28">
        <f t="shared" si="4"/>
        <v>1200</v>
      </c>
      <c r="E55" s="27">
        <f t="shared" si="5"/>
        <v>87590.128183496228</v>
      </c>
      <c r="F55" s="27">
        <f t="shared" si="6"/>
        <v>48807.90102147156</v>
      </c>
      <c r="G55" s="26">
        <f t="shared" si="1"/>
        <v>0</v>
      </c>
      <c r="H55" s="29">
        <f t="shared" si="7"/>
        <v>0</v>
      </c>
      <c r="J55" s="12"/>
    </row>
    <row r="56" spans="1:10" hidden="1" outlineLevel="1" x14ac:dyDescent="0.3">
      <c r="A56" s="44">
        <f t="shared" si="2"/>
        <v>2046</v>
      </c>
      <c r="B56" s="26">
        <f t="shared" si="0"/>
        <v>600</v>
      </c>
      <c r="C56" s="27">
        <f t="shared" si="3"/>
        <v>2190</v>
      </c>
      <c r="D56" s="28">
        <f t="shared" si="4"/>
        <v>1200</v>
      </c>
      <c r="E56" s="27">
        <f t="shared" si="5"/>
        <v>96064.737156340969</v>
      </c>
      <c r="F56" s="27">
        <f t="shared" si="6"/>
        <v>53583.465944506774</v>
      </c>
      <c r="G56" s="26">
        <f t="shared" si="1"/>
        <v>0</v>
      </c>
      <c r="H56" s="29">
        <f t="shared" si="7"/>
        <v>0</v>
      </c>
      <c r="J56" s="12"/>
    </row>
    <row r="57" spans="1:10" hidden="1" outlineLevel="1" x14ac:dyDescent="0.3">
      <c r="A57" s="44">
        <f t="shared" si="2"/>
        <v>2047</v>
      </c>
      <c r="B57" s="26">
        <f t="shared" si="0"/>
        <v>600</v>
      </c>
      <c r="C57" s="27">
        <f t="shared" si="3"/>
        <v>2190</v>
      </c>
      <c r="D57" s="28">
        <f t="shared" si="4"/>
        <v>1200</v>
      </c>
      <c r="E57" s="27">
        <f t="shared" si="5"/>
        <v>105132.56875728484</v>
      </c>
      <c r="F57" s="27">
        <f t="shared" si="6"/>
        <v>58700.483759539005</v>
      </c>
      <c r="G57" s="26">
        <f t="shared" si="1"/>
        <v>0</v>
      </c>
      <c r="H57" s="29">
        <f t="shared" si="7"/>
        <v>0</v>
      </c>
      <c r="J57" s="12"/>
    </row>
    <row r="58" spans="1:10" hidden="1" outlineLevel="1" x14ac:dyDescent="0.3">
      <c r="A58" s="44">
        <f t="shared" si="2"/>
        <v>2048</v>
      </c>
      <c r="B58" s="26">
        <f t="shared" si="0"/>
        <v>600</v>
      </c>
      <c r="C58" s="27">
        <f t="shared" si="3"/>
        <v>2190</v>
      </c>
      <c r="D58" s="28">
        <f t="shared" si="4"/>
        <v>1200</v>
      </c>
      <c r="E58" s="27">
        <f t="shared" si="5"/>
        <v>114835.14857029478</v>
      </c>
      <c r="F58" s="27">
        <f t="shared" si="6"/>
        <v>64183.368348346041</v>
      </c>
      <c r="G58" s="26">
        <f t="shared" si="1"/>
        <v>0</v>
      </c>
      <c r="H58" s="29">
        <f t="shared" si="7"/>
        <v>0</v>
      </c>
      <c r="J58" s="12"/>
    </row>
    <row r="59" spans="1:10" hidden="1" outlineLevel="1" x14ac:dyDescent="0.3">
      <c r="A59" s="44">
        <f t="shared" si="2"/>
        <v>2049</v>
      </c>
      <c r="B59" s="26">
        <f t="shared" si="0"/>
        <v>600</v>
      </c>
      <c r="C59" s="27">
        <f t="shared" si="3"/>
        <v>2190</v>
      </c>
      <c r="D59" s="28">
        <f t="shared" si="4"/>
        <v>1200</v>
      </c>
      <c r="E59" s="27">
        <f t="shared" si="5"/>
        <v>125216.90897021543</v>
      </c>
      <c r="F59" s="27">
        <f t="shared" si="6"/>
        <v>70058.279185252773</v>
      </c>
      <c r="G59" s="26">
        <f t="shared" si="1"/>
        <v>0</v>
      </c>
      <c r="H59" s="29">
        <f t="shared" si="7"/>
        <v>0</v>
      </c>
      <c r="J59" s="12"/>
    </row>
    <row r="60" spans="1:10" hidden="1" outlineLevel="1" x14ac:dyDescent="0.3">
      <c r="A60" s="44">
        <f t="shared" si="2"/>
        <v>2050</v>
      </c>
      <c r="B60" s="26">
        <f t="shared" si="0"/>
        <v>600</v>
      </c>
      <c r="C60" s="27">
        <f t="shared" si="3"/>
        <v>2190</v>
      </c>
      <c r="D60" s="28">
        <f t="shared" si="4"/>
        <v>1200</v>
      </c>
      <c r="E60" s="27">
        <f t="shared" si="5"/>
        <v>136325.39259813051</v>
      </c>
      <c r="F60" s="27">
        <f t="shared" si="6"/>
        <v>76353.246146998339</v>
      </c>
      <c r="G60" s="26">
        <f t="shared" si="1"/>
        <v>0</v>
      </c>
      <c r="H60" s="29">
        <f t="shared" si="7"/>
        <v>0</v>
      </c>
      <c r="J60" s="12"/>
    </row>
    <row r="61" spans="1:10" hidden="1" outlineLevel="1" x14ac:dyDescent="0.3">
      <c r="A61" s="44">
        <f>A60+1</f>
        <v>2051</v>
      </c>
      <c r="B61" s="26">
        <f t="shared" si="0"/>
        <v>300</v>
      </c>
      <c r="C61" s="27">
        <f t="shared" si="3"/>
        <v>1890</v>
      </c>
      <c r="D61" s="28">
        <f t="shared" si="4"/>
        <v>1200</v>
      </c>
      <c r="E61" s="27">
        <f t="shared" si="5"/>
        <v>147890.47007999965</v>
      </c>
      <c r="F61" s="27">
        <f t="shared" si="6"/>
        <v>83098.303246508716</v>
      </c>
      <c r="G61" s="26">
        <f t="shared" si="1"/>
        <v>0</v>
      </c>
      <c r="H61" s="29">
        <f t="shared" si="7"/>
        <v>0</v>
      </c>
      <c r="J61" s="12"/>
    </row>
    <row r="62" spans="1:10" hidden="1" outlineLevel="1" x14ac:dyDescent="0.3">
      <c r="A62" s="44">
        <f t="shared" si="2"/>
        <v>2052</v>
      </c>
      <c r="B62" s="26">
        <f t="shared" si="0"/>
        <v>300</v>
      </c>
      <c r="C62" s="27">
        <f t="shared" si="3"/>
        <v>1890</v>
      </c>
      <c r="D62" s="28">
        <f t="shared" si="4"/>
        <v>1200</v>
      </c>
      <c r="E62" s="27">
        <f t="shared" si="5"/>
        <v>160265.10298559963</v>
      </c>
      <c r="F62" s="27">
        <f t="shared" si="6"/>
        <v>90325.631928634088</v>
      </c>
      <c r="G62" s="26">
        <f t="shared" si="1"/>
        <v>0</v>
      </c>
      <c r="H62" s="29">
        <f t="shared" si="7"/>
        <v>0</v>
      </c>
      <c r="J62" s="12"/>
    </row>
    <row r="63" spans="1:10" hidden="1" outlineLevel="1" x14ac:dyDescent="0.3">
      <c r="A63" s="44">
        <f t="shared" si="2"/>
        <v>2053</v>
      </c>
      <c r="B63" s="26">
        <f t="shared" si="0"/>
        <v>0</v>
      </c>
      <c r="C63" s="27">
        <f t="shared" si="3"/>
        <v>1590</v>
      </c>
      <c r="D63" s="28">
        <f t="shared" si="4"/>
        <v>1200</v>
      </c>
      <c r="E63" s="27">
        <f t="shared" si="5"/>
        <v>173184.96019459161</v>
      </c>
      <c r="F63" s="27">
        <f t="shared" si="6"/>
        <v>98069.71461153141</v>
      </c>
      <c r="G63" s="26">
        <f t="shared" si="1"/>
        <v>118.80000000000001</v>
      </c>
      <c r="H63" s="29">
        <f t="shared" si="7"/>
        <v>127.2942</v>
      </c>
      <c r="J63" s="12"/>
    </row>
    <row r="64" spans="1:10" hidden="1" outlineLevel="1" x14ac:dyDescent="0.3">
      <c r="A64" s="44">
        <f t="shared" si="2"/>
        <v>2054</v>
      </c>
      <c r="B64" s="26">
        <f t="shared" si="0"/>
        <v>0</v>
      </c>
      <c r="C64" s="27">
        <f t="shared" si="3"/>
        <v>1590</v>
      </c>
      <c r="D64" s="28">
        <f t="shared" si="4"/>
        <v>1200</v>
      </c>
      <c r="E64" s="27">
        <f t="shared" si="5"/>
        <v>187009.20740821303</v>
      </c>
      <c r="F64" s="27">
        <f t="shared" si="6"/>
        <v>106367.49920625589</v>
      </c>
      <c r="G64" s="26">
        <f t="shared" si="1"/>
        <v>118.80000000000001</v>
      </c>
      <c r="H64" s="29">
        <f t="shared" si="7"/>
        <v>263.6899353</v>
      </c>
      <c r="J64" s="12"/>
    </row>
    <row r="65" spans="1:10" hidden="1" outlineLevel="1" x14ac:dyDescent="0.3">
      <c r="A65" s="44">
        <f t="shared" si="2"/>
        <v>2055</v>
      </c>
      <c r="B65" s="26">
        <f t="shared" si="0"/>
        <v>0</v>
      </c>
      <c r="C65" s="27">
        <f t="shared" si="3"/>
        <v>1590</v>
      </c>
      <c r="D65" s="28">
        <f t="shared" si="4"/>
        <v>1200</v>
      </c>
      <c r="E65" s="27">
        <f t="shared" si="5"/>
        <v>201801.15192678795</v>
      </c>
      <c r="F65" s="27">
        <f t="shared" si="6"/>
        <v>115258.57539950317</v>
      </c>
      <c r="G65" s="26">
        <f t="shared" si="1"/>
        <v>118.80000000000001</v>
      </c>
      <c r="H65" s="29">
        <f t="shared" si="7"/>
        <v>409.83796567394995</v>
      </c>
      <c r="J65" s="12"/>
    </row>
    <row r="66" spans="1:10" hidden="1" outlineLevel="1" x14ac:dyDescent="0.3">
      <c r="A66" s="44">
        <f t="shared" si="2"/>
        <v>2056</v>
      </c>
      <c r="B66" s="26">
        <f t="shared" si="0"/>
        <v>0</v>
      </c>
      <c r="C66" s="27">
        <f t="shared" si="3"/>
        <v>1590</v>
      </c>
      <c r="D66" s="28">
        <f t="shared" si="4"/>
        <v>1200</v>
      </c>
      <c r="E66" s="27">
        <f t="shared" si="5"/>
        <v>217628.53256166313</v>
      </c>
      <c r="F66" s="27">
        <f t="shared" si="6"/>
        <v>124785.36354056763</v>
      </c>
      <c r="G66" s="26">
        <f t="shared" si="1"/>
        <v>118.80000000000001</v>
      </c>
      <c r="H66" s="29">
        <f t="shared" si="7"/>
        <v>566.43558021963736</v>
      </c>
      <c r="J66" s="12"/>
    </row>
    <row r="67" spans="1:10" hidden="1" outlineLevel="1" x14ac:dyDescent="0.3">
      <c r="A67" s="44">
        <f t="shared" si="2"/>
        <v>2057</v>
      </c>
      <c r="B67" s="26">
        <f t="shared" si="0"/>
        <v>0</v>
      </c>
      <c r="C67" s="27">
        <f t="shared" si="3"/>
        <v>1590</v>
      </c>
      <c r="D67" s="28">
        <f t="shared" si="4"/>
        <v>1200</v>
      </c>
      <c r="E67" s="27">
        <f t="shared" si="5"/>
        <v>234563.82984097957</v>
      </c>
      <c r="F67" s="27">
        <f t="shared" si="6"/>
        <v>134993.31703371819</v>
      </c>
      <c r="G67" s="26">
        <f t="shared" si="1"/>
        <v>118.80000000000001</v>
      </c>
      <c r="H67" s="29">
        <f t="shared" si="7"/>
        <v>734.22992420534126</v>
      </c>
      <c r="J67" s="12"/>
    </row>
    <row r="68" spans="1:10" hidden="1" outlineLevel="1" x14ac:dyDescent="0.3">
      <c r="A68" s="44">
        <f t="shared" si="2"/>
        <v>2058</v>
      </c>
      <c r="B68" s="26">
        <f t="shared" si="0"/>
        <v>0</v>
      </c>
      <c r="C68" s="27">
        <f t="shared" si="3"/>
        <v>1590</v>
      </c>
      <c r="D68" s="28">
        <f t="shared" si="4"/>
        <v>1200</v>
      </c>
      <c r="E68" s="27">
        <f t="shared" si="5"/>
        <v>252684.59792984815</v>
      </c>
      <c r="F68" s="27">
        <f t="shared" si="6"/>
        <v>145931.13920162903</v>
      </c>
      <c r="G68" s="26">
        <f t="shared" si="1"/>
        <v>118.80000000000001</v>
      </c>
      <c r="H68" s="29">
        <f t="shared" si="7"/>
        <v>914.02156378602319</v>
      </c>
      <c r="J68" s="12"/>
    </row>
    <row r="69" spans="1:10" hidden="1" outlineLevel="1" x14ac:dyDescent="0.3">
      <c r="A69" s="44">
        <f t="shared" si="2"/>
        <v>2059</v>
      </c>
      <c r="B69" s="26">
        <f t="shared" si="0"/>
        <v>0</v>
      </c>
      <c r="C69" s="27">
        <f t="shared" si="3"/>
        <v>1590</v>
      </c>
      <c r="D69" s="28">
        <f t="shared" si="4"/>
        <v>1200</v>
      </c>
      <c r="E69" s="27">
        <f t="shared" si="5"/>
        <v>272073.81978493754</v>
      </c>
      <c r="F69" s="27">
        <f t="shared" si="6"/>
        <v>157651.01565454548</v>
      </c>
      <c r="G69" s="26">
        <f t="shared" si="1"/>
        <v>118.80000000000001</v>
      </c>
      <c r="H69" s="29">
        <f t="shared" si="7"/>
        <v>1106.6683055967237</v>
      </c>
      <c r="J69" s="12"/>
    </row>
    <row r="70" spans="1:10" hidden="1" outlineLevel="1" x14ac:dyDescent="0.3">
      <c r="A70" s="44">
        <f t="shared" si="2"/>
        <v>2060</v>
      </c>
      <c r="B70" s="26">
        <f t="shared" si="0"/>
        <v>0</v>
      </c>
      <c r="C70" s="27">
        <f t="shared" si="3"/>
        <v>1590</v>
      </c>
      <c r="D70" s="28">
        <f t="shared" si="4"/>
        <v>1200</v>
      </c>
      <c r="E70" s="27">
        <f t="shared" si="5"/>
        <v>292820.2871698832</v>
      </c>
      <c r="F70" s="27">
        <f t="shared" si="6"/>
        <v>170208.86327384546</v>
      </c>
      <c r="G70" s="26">
        <f t="shared" si="1"/>
        <v>118.80000000000001</v>
      </c>
      <c r="H70" s="29">
        <f t="shared" si="7"/>
        <v>1313.0892894468893</v>
      </c>
      <c r="J70" s="12"/>
    </row>
    <row r="71" spans="1:10" hidden="1" outlineLevel="1" x14ac:dyDescent="0.3">
      <c r="A71" s="44">
        <f t="shared" si="2"/>
        <v>2061</v>
      </c>
      <c r="B71" s="26">
        <f t="shared" si="0"/>
        <v>0</v>
      </c>
      <c r="C71" s="27">
        <f t="shared" si="3"/>
        <v>1590</v>
      </c>
      <c r="D71" s="28">
        <f t="shared" si="4"/>
        <v>1200</v>
      </c>
      <c r="E71" s="27">
        <f t="shared" si="5"/>
        <v>315019.00727177504</v>
      </c>
      <c r="F71" s="27">
        <f t="shared" si="6"/>
        <v>183664.5969979254</v>
      </c>
      <c r="G71" s="26">
        <f t="shared" si="1"/>
        <v>118.80000000000001</v>
      </c>
      <c r="H71" s="29">
        <f t="shared" si="7"/>
        <v>1534.2693736423416</v>
      </c>
      <c r="J71" s="12"/>
    </row>
    <row r="72" spans="1:10" hidden="1" outlineLevel="1" x14ac:dyDescent="0.3">
      <c r="A72" s="44">
        <f t="shared" si="2"/>
        <v>2062</v>
      </c>
      <c r="B72" s="26">
        <f t="shared" si="0"/>
        <v>0</v>
      </c>
      <c r="C72" s="27">
        <f t="shared" si="3"/>
        <v>1590</v>
      </c>
      <c r="D72" s="28">
        <f t="shared" si="4"/>
        <v>1200</v>
      </c>
      <c r="E72" s="27">
        <f t="shared" si="5"/>
        <v>338771.6377807993</v>
      </c>
      <c r="F72" s="27">
        <f t="shared" si="6"/>
        <v>198082.41568327704</v>
      </c>
      <c r="G72" s="26">
        <f t="shared" si="1"/>
        <v>118.80000000000001</v>
      </c>
      <c r="H72" s="29">
        <f t="shared" si="7"/>
        <v>1771.2638338577688</v>
      </c>
      <c r="J72" s="12"/>
    </row>
    <row r="73" spans="1:10" hidden="1" outlineLevel="1" x14ac:dyDescent="0.3">
      <c r="A73" s="44">
        <f t="shared" si="2"/>
        <v>2063</v>
      </c>
      <c r="B73" s="26">
        <f t="shared" si="0"/>
        <v>0</v>
      </c>
      <c r="C73" s="27">
        <f t="shared" si="3"/>
        <v>1590</v>
      </c>
      <c r="D73" s="28">
        <f t="shared" si="4"/>
        <v>1200</v>
      </c>
      <c r="E73" s="27">
        <f t="shared" si="5"/>
        <v>364186.95242545527</v>
      </c>
      <c r="F73" s="27">
        <f t="shared" si="6"/>
        <v>213531.10840463132</v>
      </c>
      <c r="G73" s="26">
        <f t="shared" si="1"/>
        <v>118.80000000000001</v>
      </c>
      <c r="H73" s="29">
        <f t="shared" si="7"/>
        <v>2025.203397978599</v>
      </c>
      <c r="J73" s="12"/>
    </row>
    <row r="74" spans="1:10" hidden="1" outlineLevel="1" x14ac:dyDescent="0.3">
      <c r="A74" s="44">
        <f t="shared" si="2"/>
        <v>2064</v>
      </c>
      <c r="B74" s="26">
        <f t="shared" si="0"/>
        <v>0</v>
      </c>
      <c r="C74" s="27">
        <f t="shared" si="3"/>
        <v>1590</v>
      </c>
      <c r="D74" s="28">
        <f t="shared" si="4"/>
        <v>1200</v>
      </c>
      <c r="E74" s="27">
        <f t="shared" si="5"/>
        <v>391381.33909523714</v>
      </c>
      <c r="F74" s="27">
        <f t="shared" si="6"/>
        <v>230084.38265556243</v>
      </c>
      <c r="G74" s="26">
        <f t="shared" si="1"/>
        <v>118.80000000000001</v>
      </c>
      <c r="H74" s="29">
        <f t="shared" si="7"/>
        <v>2297.2996409340685</v>
      </c>
      <c r="J74" s="12"/>
    </row>
    <row r="75" spans="1:10" hidden="1" outlineLevel="1" x14ac:dyDescent="0.3">
      <c r="A75" s="44">
        <f t="shared" si="2"/>
        <v>2065</v>
      </c>
      <c r="B75" s="26">
        <f t="shared" si="0"/>
        <v>0</v>
      </c>
      <c r="C75" s="27">
        <f t="shared" si="3"/>
        <v>1590</v>
      </c>
      <c r="D75" s="28">
        <f t="shared" si="4"/>
        <v>1200</v>
      </c>
      <c r="E75" s="27">
        <f t="shared" si="5"/>
        <v>420479.33283190377</v>
      </c>
      <c r="F75" s="27">
        <f t="shared" si="6"/>
        <v>247821.21601543511</v>
      </c>
      <c r="G75" s="26">
        <f t="shared" si="1"/>
        <v>118.80000000000001</v>
      </c>
      <c r="H75" s="29">
        <f t="shared" si="7"/>
        <v>2588.8507652608546</v>
      </c>
      <c r="J75" s="12"/>
    </row>
    <row r="76" spans="1:10" hidden="1" outlineLevel="1" x14ac:dyDescent="0.3">
      <c r="A76" s="44">
        <f t="shared" si="2"/>
        <v>2066</v>
      </c>
      <c r="B76" s="26">
        <f t="shared" si="0"/>
        <v>0</v>
      </c>
      <c r="C76" s="27">
        <f t="shared" si="3"/>
        <v>1590</v>
      </c>
      <c r="D76" s="28">
        <f t="shared" si="4"/>
        <v>1200</v>
      </c>
      <c r="E76" s="27">
        <f t="shared" si="5"/>
        <v>451614.18613013707</v>
      </c>
      <c r="F76" s="27">
        <f t="shared" si="6"/>
        <v>266826.23296053871</v>
      </c>
      <c r="G76" s="26">
        <f t="shared" si="1"/>
        <v>118.80000000000001</v>
      </c>
      <c r="H76" s="29">
        <f t="shared" si="7"/>
        <v>2901.2477949770055</v>
      </c>
      <c r="J76" s="12"/>
    </row>
    <row r="77" spans="1:10" hidden="1" outlineLevel="1" x14ac:dyDescent="0.3">
      <c r="A77" s="44">
        <f t="shared" si="2"/>
        <v>2067</v>
      </c>
      <c r="B77" s="26">
        <f t="shared" si="0"/>
        <v>0</v>
      </c>
      <c r="C77" s="27">
        <f t="shared" si="3"/>
        <v>1590</v>
      </c>
      <c r="D77" s="28">
        <f t="shared" si="4"/>
        <v>1200</v>
      </c>
      <c r="E77" s="27">
        <f t="shared" si="5"/>
        <v>484928.47915924666</v>
      </c>
      <c r="F77" s="27">
        <f t="shared" si="6"/>
        <v>287190.10861721722</v>
      </c>
      <c r="G77" s="26">
        <f t="shared" si="1"/>
        <v>118.80000000000001</v>
      </c>
      <c r="H77" s="29">
        <f t="shared" si="7"/>
        <v>3235.9812123178613</v>
      </c>
      <c r="J77" s="12"/>
    </row>
    <row r="78" spans="1:10" hidden="1" outlineLevel="1" x14ac:dyDescent="0.3">
      <c r="A78" s="44">
        <f t="shared" si="2"/>
        <v>2068</v>
      </c>
      <c r="B78" s="26">
        <f t="shared" si="0"/>
        <v>0</v>
      </c>
      <c r="C78" s="27">
        <f t="shared" si="3"/>
        <v>1590</v>
      </c>
      <c r="D78" s="28">
        <f t="shared" si="4"/>
        <v>1200</v>
      </c>
      <c r="E78" s="27">
        <f t="shared" si="5"/>
        <v>520574.77270039398</v>
      </c>
      <c r="F78" s="27">
        <f t="shared" si="6"/>
        <v>309010.00138334825</v>
      </c>
      <c r="G78" s="26">
        <f t="shared" si="1"/>
        <v>118.80000000000001</v>
      </c>
      <c r="H78" s="29">
        <f t="shared" si="7"/>
        <v>3594.6480689985883</v>
      </c>
      <c r="J78" s="12"/>
    </row>
    <row r="79" spans="1:10" hidden="1" outlineLevel="1" x14ac:dyDescent="0.3">
      <c r="A79" s="44">
        <f t="shared" si="2"/>
        <v>2069</v>
      </c>
      <c r="B79" s="26">
        <f t="shared" si="0"/>
        <v>0</v>
      </c>
      <c r="C79" s="27">
        <f t="shared" si="3"/>
        <v>1590</v>
      </c>
      <c r="D79" s="28">
        <f t="shared" si="4"/>
        <v>1200</v>
      </c>
      <c r="E79" s="27">
        <f t="shared" si="5"/>
        <v>558716.30678942159</v>
      </c>
      <c r="F79" s="27">
        <f t="shared" si="6"/>
        <v>332390.01648225763</v>
      </c>
      <c r="G79" s="26">
        <f t="shared" si="1"/>
        <v>118.80000000000001</v>
      </c>
      <c r="H79" s="29">
        <f t="shared" si="7"/>
        <v>3978.959605931987</v>
      </c>
      <c r="J79" s="12"/>
    </row>
    <row r="80" spans="1:10" hidden="1" outlineLevel="1" x14ac:dyDescent="0.3">
      <c r="A80" s="44">
        <f t="shared" si="2"/>
        <v>2070</v>
      </c>
      <c r="B80" s="26">
        <f t="shared" si="0"/>
        <v>0</v>
      </c>
      <c r="C80" s="27">
        <f t="shared" si="3"/>
        <v>1590</v>
      </c>
      <c r="D80" s="28">
        <f t="shared" si="4"/>
        <v>1200</v>
      </c>
      <c r="E80" s="27">
        <f t="shared" si="5"/>
        <v>599527.74826468108</v>
      </c>
      <c r="F80" s="27">
        <f t="shared" si="6"/>
        <v>357441.70266073901</v>
      </c>
      <c r="G80" s="26">
        <f t="shared" si="1"/>
        <v>118.80000000000001</v>
      </c>
      <c r="H80" s="29">
        <f t="shared" si="7"/>
        <v>4390.749417756123</v>
      </c>
      <c r="J80" s="12"/>
    </row>
    <row r="81" spans="1:10" hidden="1" outlineLevel="1" x14ac:dyDescent="0.3">
      <c r="A81" s="44">
        <f t="shared" si="2"/>
        <v>2071</v>
      </c>
      <c r="B81" s="26">
        <f t="shared" si="0"/>
        <v>0</v>
      </c>
      <c r="C81" s="27">
        <f t="shared" si="3"/>
        <v>1590</v>
      </c>
      <c r="D81" s="28">
        <f t="shared" si="4"/>
        <v>1200</v>
      </c>
      <c r="E81" s="27">
        <f t="shared" si="5"/>
        <v>643195.99064320885</v>
      </c>
      <c r="F81" s="27">
        <f t="shared" si="6"/>
        <v>384284.58440098184</v>
      </c>
      <c r="G81" s="26">
        <f t="shared" si="1"/>
        <v>118.80000000000001</v>
      </c>
      <c r="H81" s="29">
        <f t="shared" si="7"/>
        <v>4831.9822011256856</v>
      </c>
      <c r="J81" s="12"/>
    </row>
    <row r="82" spans="1:10" hidden="1" outlineLevel="1" x14ac:dyDescent="0.3">
      <c r="A82" s="44">
        <f t="shared" si="2"/>
        <v>2072</v>
      </c>
      <c r="B82" s="26">
        <f t="shared" si="0"/>
        <v>0</v>
      </c>
      <c r="C82" s="27">
        <f t="shared" si="3"/>
        <v>1590</v>
      </c>
      <c r="D82" s="28">
        <f t="shared" si="4"/>
        <v>1200</v>
      </c>
      <c r="E82" s="27">
        <f t="shared" si="5"/>
        <v>689921.00998823356</v>
      </c>
      <c r="F82" s="27">
        <f t="shared" si="6"/>
        <v>413046.73218565201</v>
      </c>
      <c r="G82" s="26">
        <f t="shared" si="1"/>
        <v>118.80000000000001</v>
      </c>
      <c r="H82" s="29">
        <f t="shared" si="7"/>
        <v>5304.7631285061716</v>
      </c>
      <c r="J82" s="12"/>
    </row>
    <row r="83" spans="1:10" hidden="1" outlineLevel="1" x14ac:dyDescent="0.3">
      <c r="A83" s="44">
        <f t="shared" si="2"/>
        <v>2073</v>
      </c>
      <c r="B83" s="26">
        <f t="shared" si="0"/>
        <v>0</v>
      </c>
      <c r="C83" s="27">
        <f t="shared" si="3"/>
        <v>1590</v>
      </c>
      <c r="D83" s="28">
        <f t="shared" si="4"/>
        <v>1200</v>
      </c>
      <c r="E83" s="27">
        <f t="shared" si="5"/>
        <v>739916.78068740992</v>
      </c>
      <c r="F83" s="27">
        <f t="shared" si="6"/>
        <v>443865.37353692611</v>
      </c>
      <c r="G83" s="26">
        <f t="shared" si="1"/>
        <v>118.80000000000001</v>
      </c>
      <c r="H83" s="29">
        <f t="shared" si="7"/>
        <v>5811.3478921943624</v>
      </c>
      <c r="J83" s="12"/>
    </row>
    <row r="84" spans="1:10" hidden="1" outlineLevel="1" x14ac:dyDescent="0.3">
      <c r="A84" s="44">
        <f t="shared" si="2"/>
        <v>2074</v>
      </c>
      <c r="B84" s="26">
        <f t="shared" si="0"/>
        <v>0</v>
      </c>
      <c r="C84" s="27">
        <f t="shared" si="3"/>
        <v>1590</v>
      </c>
      <c r="D84" s="28">
        <f t="shared" si="4"/>
        <v>1200</v>
      </c>
      <c r="E84" s="27">
        <f t="shared" si="5"/>
        <v>793412.25533552864</v>
      </c>
      <c r="F84" s="27">
        <f t="shared" si="6"/>
        <v>476887.54774481629</v>
      </c>
      <c r="G84" s="26">
        <f t="shared" si="1"/>
        <v>118.80000000000001</v>
      </c>
      <c r="H84" s="29">
        <f t="shared" si="7"/>
        <v>6354.1534664862593</v>
      </c>
      <c r="J84" s="12"/>
    </row>
    <row r="85" spans="1:10" hidden="1" outlineLevel="1" x14ac:dyDescent="0.3">
      <c r="A85" s="44">
        <f t="shared" si="2"/>
        <v>2075</v>
      </c>
      <c r="B85" s="26">
        <f t="shared" si="0"/>
        <v>0</v>
      </c>
      <c r="C85" s="27">
        <f t="shared" si="3"/>
        <v>1590</v>
      </c>
      <c r="D85" s="28">
        <f t="shared" si="4"/>
        <v>1200</v>
      </c>
      <c r="E85" s="27">
        <f t="shared" si="5"/>
        <v>850652.41320901574</v>
      </c>
      <c r="F85" s="27">
        <f t="shared" si="6"/>
        <v>512270.8074085706</v>
      </c>
      <c r="G85" s="26">
        <f t="shared" si="1"/>
        <v>118.80000000000001</v>
      </c>
      <c r="H85" s="29">
        <f t="shared" si="7"/>
        <v>6935.7696393400265</v>
      </c>
      <c r="J85" s="12"/>
    </row>
    <row r="86" spans="1:10" hidden="1" outlineLevel="1" x14ac:dyDescent="0.3">
      <c r="A86" s="44">
        <f t="shared" si="2"/>
        <v>2076</v>
      </c>
      <c r="B86" s="26">
        <f t="shared" si="0"/>
        <v>0</v>
      </c>
      <c r="C86" s="27">
        <f t="shared" si="3"/>
        <v>1590</v>
      </c>
      <c r="D86" s="28">
        <f t="shared" si="4"/>
        <v>1200</v>
      </c>
      <c r="E86" s="27">
        <f t="shared" si="5"/>
        <v>911899.38213364687</v>
      </c>
      <c r="F86" s="27">
        <f t="shared" si="6"/>
        <v>550183.97013828333</v>
      </c>
      <c r="G86" s="26">
        <f t="shared" si="1"/>
        <v>118.80000000000001</v>
      </c>
      <c r="H86" s="29">
        <f t="shared" si="7"/>
        <v>7558.9713685528377</v>
      </c>
      <c r="J86" s="12"/>
    </row>
    <row r="87" spans="1:10" hidden="1" outlineLevel="1" x14ac:dyDescent="0.3">
      <c r="A87" s="44">
        <f t="shared" si="2"/>
        <v>2077</v>
      </c>
      <c r="B87" s="26">
        <f t="shared" si="0"/>
        <v>0</v>
      </c>
      <c r="C87" s="27">
        <f t="shared" si="3"/>
        <v>1590</v>
      </c>
      <c r="D87" s="28">
        <f t="shared" si="4"/>
        <v>1200</v>
      </c>
      <c r="E87" s="27">
        <f t="shared" si="5"/>
        <v>977433.63888300222</v>
      </c>
      <c r="F87" s="27">
        <f t="shared" si="6"/>
        <v>590807.92400317057</v>
      </c>
      <c r="G87" s="26">
        <f t="shared" si="1"/>
        <v>118.80000000000001</v>
      </c>
      <c r="H87" s="29">
        <f t="shared" si="7"/>
        <v>8226.7320214043648</v>
      </c>
      <c r="J87" s="12"/>
    </row>
    <row r="88" spans="1:10" hidden="1" outlineLevel="1" x14ac:dyDescent="0.3">
      <c r="A88" s="26"/>
      <c r="B88" s="26"/>
      <c r="C88" s="26"/>
      <c r="D88" s="26"/>
      <c r="E88" s="26"/>
      <c r="F88" s="26"/>
      <c r="G88" s="26"/>
      <c r="H88" s="26"/>
      <c r="J88" s="12"/>
    </row>
    <row r="89" spans="1:10" hidden="1" outlineLevel="1" x14ac:dyDescent="0.3"/>
    <row r="90" spans="1:10" hidden="1" outlineLevel="1" x14ac:dyDescent="0.3"/>
    <row r="91" spans="1:10" hidden="1" outlineLevel="1" x14ac:dyDescent="0.3"/>
    <row r="92" spans="1:10" hidden="1" outlineLevel="1" x14ac:dyDescent="0.3"/>
    <row r="93" spans="1:10" hidden="1" outlineLevel="1" x14ac:dyDescent="0.3"/>
    <row r="94" spans="1:10" hidden="1" outlineLevel="1" x14ac:dyDescent="0.3"/>
    <row r="95" spans="1:10" hidden="1" outlineLevel="1" x14ac:dyDescent="0.3"/>
    <row r="96" spans="1:10" hidden="1" outlineLevel="1" x14ac:dyDescent="0.3"/>
    <row r="97" hidden="1" outlineLevel="1" x14ac:dyDescent="0.3"/>
    <row r="98" hidden="1" outlineLevel="1" x14ac:dyDescent="0.3"/>
    <row r="99" hidden="1" outlineLevel="1" x14ac:dyDescent="0.3"/>
    <row r="100" hidden="1" outlineLevel="1" x14ac:dyDescent="0.3"/>
    <row r="101" hidden="1" outlineLevel="1" x14ac:dyDescent="0.3"/>
    <row r="102" collapsed="1" x14ac:dyDescent="0.3"/>
  </sheetData>
  <sheetProtection algorithmName="SHA-512" hashValue="AqKPLfhM/5NOznSt4rf5cIEoynxt2PWDM4q62yeoIMgv1pMcLl8bbkQGJUgRz5vTAo4/r07kGWwQXM3/HIm5/A==" saltValue="xkMnK4WoZIx2ZZyKUkIgxw==" spinCount="100000" sheet="1" objects="1" scenarios="1"/>
  <mergeCells count="3">
    <mergeCell ref="B1:G1"/>
    <mergeCell ref="C19:D19"/>
    <mergeCell ref="C10:D10"/>
  </mergeCells>
  <conditionalFormatting sqref="B17">
    <cfRule type="cellIs" dxfId="2" priority="1" operator="greaterThan">
      <formula>0.01</formula>
    </cfRule>
    <cfRule type="cellIs" dxfId="1" priority="2" operator="between">
      <formula>0.006</formula>
      <formula>0.01</formula>
    </cfRule>
    <cfRule type="cellIs" dxfId="0" priority="3" operator="between">
      <formula>0</formula>
      <formula>0.005</formula>
    </cfRule>
  </conditionalFormatting>
  <dataValidations count="7">
    <dataValidation type="list" allowBlank="1" showInputMessage="1" showErrorMessage="1" sqref="C19" xr:uid="{31AC43B4-0FC2-486B-B9EC-B12A4F017E7B}">
      <formula1>$L$1:$L$9</formula1>
    </dataValidation>
    <dataValidation allowBlank="1" showDropDown="1" showInputMessage="1" showErrorMessage="1" sqref="A22" xr:uid="{C303A7C7-A056-4553-B0EB-A4605CE1DD14}"/>
    <dataValidation type="list" allowBlank="1" showInputMessage="1" showErrorMessage="1" sqref="C16" xr:uid="{49095087-6835-43DF-9CEB-789AEEE0E90F}">
      <formula1>"MSCI WORLD, MSCI ACWI, S&amp;P 500, STOXX Europe 600, Individuell"</formula1>
    </dataValidation>
    <dataValidation type="decimal" allowBlank="1" showInputMessage="1" showErrorMessage="1" errorTitle="Achtung Premium-Bereich" error="Für die maximale staatliche Grundförderung genügen 150€ im Monat. Für höhere Beträge und den 12/62-Steuer Joker wechsle bitte zum Premium Rechner." sqref="D9" xr:uid="{310205D4-EECB-4544-8529-C242822115A5}">
      <formula1>0</formula1>
      <formula2>150</formula2>
    </dataValidation>
    <dataValidation type="list" allowBlank="1" showInputMessage="1" showErrorMessage="1" sqref="C10" xr:uid="{88FD160C-0A17-4272-A652-A52D88162568}">
      <formula1>"0% Garantie (Volle Rendite), 80% Garantie (Mischfonds), 100% Garantie (Sicherheitsfonds)"</formula1>
    </dataValidation>
    <dataValidation type="list" allowBlank="1" showInputMessage="1" showErrorMessage="1" sqref="D16" xr:uid="{4E76F934-848F-4981-AEF1-B263125A862F}">
      <mc:AlternateContent xmlns:x12ac="http://schemas.microsoft.com/office/spreadsheetml/2011/1/ac" xmlns:mc="http://schemas.openxmlformats.org/markup-compatibility/2006">
        <mc:Choice Requires="x12ac">
          <x12ac:list>4%,"4,5%",5%,"5,5%",6%,"6,5%",7%,"7,5%",8%,"8,5%",9%,"9,5%",10%,"10,5%",11%,"11,5%",12%</x12ac:list>
        </mc:Choice>
        <mc:Fallback>
          <formula1>"4%,4,5%,5%,5,5%,6%,6,5%,7%,7,5%,8%,8,5%,9%,9,5%,10%,10,5%,11%,11,5%,12%"</formula1>
        </mc:Fallback>
      </mc:AlternateContent>
    </dataValidation>
    <dataValidation type="list" allowBlank="1" showInputMessage="1" showErrorMessage="1" sqref="B17" xr:uid="{F1A06CF4-1FA4-47EF-BE70-2C2BC1407E15}">
      <formula1>$Z$5:$Z$34</formula1>
    </dataValidation>
  </dataValidations>
  <printOptions horizontalCentered="1" verticalCentered="1"/>
  <pageMargins left="0" right="0" top="0" bottom="0" header="0" footer="0"/>
  <pageSetup paperSize="9" scale="6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Standard Rechner</vt:lpstr>
      <vt:lpstr>'Standard Rechner'!Druckbereich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Altersvorsorge-Depotrechner</dc:title>
  <dc:creator>Sebastian Palik</dc:creator>
  <cp:lastModifiedBy>Sebastian Palik</cp:lastModifiedBy>
  <cp:lastPrinted>2026-03-29T08:59:19Z</cp:lastPrinted>
  <dcterms:created xsi:type="dcterms:W3CDTF">2026-03-25T15:00:49Z</dcterms:created>
  <dcterms:modified xsi:type="dcterms:W3CDTF">2026-04-08T13:15:21Z</dcterms:modified>
</cp:coreProperties>
</file>